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xr:revisionPtr revIDLastSave="0" documentId="13_ncr:1_{9AF66D80-FDA0-405B-BA06-96B7D568EC3E}" xr6:coauthVersionLast="47" xr6:coauthVersionMax="47" xr10:uidLastSave="{00000000-0000-0000-0000-000000000000}"/>
  <bookViews>
    <workbookView xWindow="-120" yWindow="-120" windowWidth="29040" windowHeight="15720" tabRatio="946" xr2:uid="{00000000-000D-0000-FFFF-FFFF00000000}"/>
  </bookViews>
  <sheets>
    <sheet name="Daily Cost Calc" sheetId="18" r:id="rId1"/>
    <sheet name="Sched-A" sheetId="19" r:id="rId2"/>
    <sheet name="Sched-B1" sheetId="2" r:id="rId3"/>
    <sheet name="Sched-B2" sheetId="1" r:id="rId4"/>
    <sheet name="Sched-C" sheetId="3" r:id="rId5"/>
    <sheet name="Sched-D1" sheetId="4" r:id="rId6"/>
    <sheet name="Sched-D2" sheetId="21" r:id="rId7"/>
    <sheet name="Summary-Sched-E" sheetId="27" r:id="rId8"/>
    <sheet name="Sched-E" sheetId="5" r:id="rId9"/>
    <sheet name="Property Inventory" sheetId="10" r:id="rId10"/>
    <sheet name="Sched-F-G" sheetId="6" r:id="rId11"/>
    <sheet name="CostReim" sheetId="8" r:id="rId12"/>
    <sheet name="COST ALLOCATION" sheetId="11" r:id="rId13"/>
    <sheet name="BILLING RATE CALC" sheetId="16" r:id="rId14"/>
    <sheet name="Inmate Avg Daily Population" sheetId="12" r:id="rId15"/>
    <sheet name="Avg Daily Community Jails" sheetId="32" r:id="rId16"/>
    <sheet name="IADP-By Gender" sheetId="28" r:id="rId17"/>
    <sheet name="Monthly PO Workload Stats" sheetId="30" r:id="rId18"/>
    <sheet name="Qtrly's-Cntsht Book" sheetId="24" r:id="rId19"/>
    <sheet name="CRC Avg Info by FY" sheetId="26" r:id="rId20"/>
    <sheet name="COC 2022-2025 COMPARISON" sheetId="23" r:id="rId21"/>
    <sheet name="Sheet1" sheetId="31" r:id="rId22"/>
  </sheets>
  <externalReferences>
    <externalReference r:id="rId23"/>
  </externalReferences>
  <definedNames>
    <definedName name="_xlnm._FilterDatabase" localSheetId="9" hidden="1">'Property Inventory'!$A$2:$G$69</definedName>
    <definedName name="_xlnm.Print_Area" localSheetId="15">'Avg Daily Community Jails'!$A$1:$R$45</definedName>
    <definedName name="_xlnm.Print_Area" localSheetId="13">'BILLING RATE CALC'!$A$1:$K$40</definedName>
    <definedName name="_xlnm.Print_Area" localSheetId="20">'COC 2022-2025 COMPARISON'!$A$1:$BJ$20</definedName>
    <definedName name="_xlnm.Print_Area" localSheetId="12">'COST ALLOCATION'!$A$1:$J$68</definedName>
    <definedName name="_xlnm.Print_Area" localSheetId="11">CostReim!$A$1:$F$35</definedName>
    <definedName name="_xlnm.Print_Area" localSheetId="19">'CRC Avg Info by FY'!$A$1:$O$19</definedName>
    <definedName name="_xlnm.Print_Area" localSheetId="0">'Daily Cost Calc'!$A$1:$B$48</definedName>
    <definedName name="_xlnm.Print_Area" localSheetId="16">'IADP-By Gender'!$A$1:$J$58</definedName>
    <definedName name="_xlnm.Print_Area" localSheetId="14">'Inmate Avg Daily Population'!$A$1:$O$30</definedName>
    <definedName name="_xlnm.Print_Area" localSheetId="17">'Monthly PO Workload Stats'!$A$363:$R$393</definedName>
    <definedName name="_xlnm.Print_Area" localSheetId="9">'Property Inventory'!$A$1:$G$67</definedName>
    <definedName name="_xlnm.Print_Area" localSheetId="18">'Qtrly''s-Cntsht Book'!$A$1:$Y$30</definedName>
    <definedName name="_xlnm.Print_Area" localSheetId="1">'Sched-A'!$A$1:$H$46</definedName>
    <definedName name="_xlnm.Print_Area" localSheetId="2">'Sched-B1'!$A$1:$H$17</definedName>
    <definedName name="_xlnm.Print_Area" localSheetId="3">'Sched-B2'!$A$1:$E$225</definedName>
    <definedName name="_xlnm.Print_Area" localSheetId="4">'Sched-C'!$A$1:$D$25</definedName>
    <definedName name="_xlnm.Print_Area" localSheetId="5">'Sched-D1'!$A$1:$F$709</definedName>
    <definedName name="_xlnm.Print_Area" localSheetId="6">'Sched-D2'!$A$1:$F$148</definedName>
    <definedName name="_xlnm.Print_Area" localSheetId="8">'Sched-E'!$A$1:$E$4</definedName>
    <definedName name="_xlnm.Print_Area" localSheetId="10">'Sched-F-G'!$A$1:$E$42</definedName>
    <definedName name="_xlnm.Print_Area" localSheetId="7">'Summary-Sched-E'!$A$1:$F$14</definedName>
    <definedName name="_xlnm.Print_Titles" localSheetId="12">'COST ALLOCATION'!$2:$2</definedName>
    <definedName name="_xlnm.Print_Titles" localSheetId="9">'Property Inventory'!$2:$2</definedName>
    <definedName name="_xlnm.Print_Titles" localSheetId="3">'Sched-B2'!$1:$2</definedName>
    <definedName name="_xlnm.Print_Titles" localSheetId="5">'Sched-D1'!$1:$2</definedName>
    <definedName name="_xlnm.Print_Titles" localSheetId="6">'Sched-D2'!$2:$2</definedName>
    <definedName name="_xlnm.Print_Titles" localSheetId="8">'Sched-E'!$1:$2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D15" i="23" l="1"/>
  <c r="AE15" i="23"/>
  <c r="BG10" i="23"/>
  <c r="BJ10" i="23"/>
  <c r="H16" i="19"/>
  <c r="H10" i="19"/>
  <c r="F29" i="19"/>
  <c r="F715" i="4"/>
  <c r="D17" i="3"/>
  <c r="D13" i="3"/>
  <c r="C13" i="3"/>
  <c r="C17" i="3"/>
  <c r="C8" i="3"/>
  <c r="C3" i="3"/>
  <c r="BF16" i="23" l="1"/>
  <c r="BE16" i="23"/>
  <c r="BG15" i="23"/>
  <c r="BF14" i="23"/>
  <c r="BE14" i="23"/>
  <c r="BF13" i="23"/>
  <c r="BE13" i="23"/>
  <c r="BF12" i="23"/>
  <c r="BE12" i="23"/>
  <c r="BF11" i="23"/>
  <c r="BE11" i="23"/>
  <c r="BF10" i="23"/>
  <c r="BE10" i="23"/>
  <c r="BF9" i="23"/>
  <c r="BE9" i="23"/>
  <c r="BF8" i="23"/>
  <c r="BE8" i="23"/>
  <c r="BF7" i="23"/>
  <c r="BE7" i="23"/>
  <c r="BG7" i="23" s="1"/>
  <c r="BF6" i="23"/>
  <c r="BE6" i="23"/>
  <c r="BF5" i="23"/>
  <c r="BE5" i="23"/>
  <c r="BF4" i="23"/>
  <c r="BE4" i="23"/>
  <c r="BG4" i="23" s="1"/>
  <c r="BF3" i="23"/>
  <c r="BE3" i="23"/>
  <c r="BF2" i="23"/>
  <c r="BE2" i="23"/>
  <c r="BG11" i="23" l="1"/>
  <c r="BG6" i="23"/>
  <c r="BG13" i="23"/>
  <c r="BG8" i="23"/>
  <c r="BG5" i="23"/>
  <c r="BG3" i="23"/>
  <c r="BG12" i="23"/>
  <c r="BG14" i="23"/>
  <c r="BE15" i="23"/>
  <c r="BF15" i="23"/>
  <c r="BG9" i="23"/>
  <c r="BG2" i="23"/>
  <c r="O3" i="26" l="1"/>
  <c r="N3" i="26"/>
  <c r="L3" i="26"/>
  <c r="M3" i="26"/>
  <c r="K3" i="26"/>
  <c r="I3" i="26"/>
  <c r="J3" i="26"/>
  <c r="H3" i="26"/>
  <c r="F3" i="26"/>
  <c r="G3" i="26"/>
  <c r="E3" i="26"/>
  <c r="C3" i="26"/>
  <c r="D3" i="26"/>
  <c r="B3" i="26"/>
  <c r="B36" i="32"/>
  <c r="C36" i="32"/>
  <c r="B17" i="32"/>
  <c r="D36" i="32"/>
  <c r="E36" i="32"/>
  <c r="F36" i="32"/>
  <c r="G36" i="32"/>
  <c r="H36" i="32"/>
  <c r="I36" i="32"/>
  <c r="J36" i="32"/>
  <c r="K36" i="32"/>
  <c r="L36" i="32"/>
  <c r="M36" i="32"/>
  <c r="N36" i="32"/>
  <c r="O36" i="32"/>
  <c r="P36" i="32"/>
  <c r="I17" i="32"/>
  <c r="C17" i="32"/>
  <c r="D17" i="32"/>
  <c r="F17" i="32"/>
  <c r="G17" i="32"/>
  <c r="H17" i="32"/>
  <c r="J17" i="32"/>
  <c r="K17" i="32"/>
  <c r="L17" i="32"/>
  <c r="M17" i="32"/>
  <c r="N17" i="32"/>
  <c r="O17" i="32"/>
  <c r="P17" i="32"/>
  <c r="H393" i="30"/>
  <c r="Q18" i="32" l="1"/>
  <c r="Q37" i="32"/>
  <c r="B41" i="32" s="1"/>
  <c r="N389" i="30" l="1"/>
  <c r="M389" i="30"/>
  <c r="L389" i="30"/>
  <c r="K389" i="30"/>
  <c r="J389" i="30"/>
  <c r="I389" i="30"/>
  <c r="H389" i="30"/>
  <c r="G389" i="30"/>
  <c r="F389" i="30"/>
  <c r="E389" i="30"/>
  <c r="D389" i="30"/>
  <c r="C389" i="30"/>
  <c r="N388" i="30"/>
  <c r="M388" i="30"/>
  <c r="L388" i="30"/>
  <c r="K388" i="30"/>
  <c r="J388" i="30"/>
  <c r="I388" i="30"/>
  <c r="H388" i="30"/>
  <c r="G388" i="30"/>
  <c r="F388" i="30"/>
  <c r="E388" i="30"/>
  <c r="D388" i="30"/>
  <c r="C388" i="30"/>
  <c r="N387" i="30"/>
  <c r="M387" i="30"/>
  <c r="L387" i="30"/>
  <c r="K387" i="30"/>
  <c r="J387" i="30"/>
  <c r="I387" i="30"/>
  <c r="H387" i="30"/>
  <c r="G387" i="30"/>
  <c r="F387" i="30"/>
  <c r="E387" i="30"/>
  <c r="D387" i="30"/>
  <c r="C387" i="30"/>
  <c r="N386" i="30"/>
  <c r="M386" i="30"/>
  <c r="L386" i="30"/>
  <c r="K386" i="30"/>
  <c r="J386" i="30"/>
  <c r="I386" i="30"/>
  <c r="H386" i="30"/>
  <c r="G386" i="30"/>
  <c r="F386" i="30"/>
  <c r="E386" i="30"/>
  <c r="D386" i="30"/>
  <c r="C386" i="30"/>
  <c r="N385" i="30"/>
  <c r="M385" i="30"/>
  <c r="L385" i="30"/>
  <c r="K385" i="30"/>
  <c r="J385" i="30"/>
  <c r="I385" i="30"/>
  <c r="H385" i="30"/>
  <c r="G385" i="30"/>
  <c r="F385" i="30"/>
  <c r="E385" i="30"/>
  <c r="D385" i="30"/>
  <c r="C385" i="30"/>
  <c r="N384" i="30"/>
  <c r="M384" i="30"/>
  <c r="L384" i="30"/>
  <c r="K384" i="30"/>
  <c r="J384" i="30"/>
  <c r="I384" i="30"/>
  <c r="H384" i="30"/>
  <c r="G384" i="30"/>
  <c r="F384" i="30"/>
  <c r="E384" i="30"/>
  <c r="D384" i="30"/>
  <c r="C384" i="30"/>
  <c r="N383" i="30"/>
  <c r="M383" i="30"/>
  <c r="L383" i="30"/>
  <c r="K383" i="30"/>
  <c r="J383" i="30"/>
  <c r="I383" i="30"/>
  <c r="H383" i="30"/>
  <c r="G383" i="30"/>
  <c r="F383" i="30"/>
  <c r="E383" i="30"/>
  <c r="D383" i="30"/>
  <c r="C383" i="30"/>
  <c r="N382" i="30"/>
  <c r="M382" i="30"/>
  <c r="L382" i="30"/>
  <c r="K382" i="30"/>
  <c r="J382" i="30"/>
  <c r="I382" i="30"/>
  <c r="H382" i="30"/>
  <c r="G382" i="30"/>
  <c r="F382" i="30"/>
  <c r="E382" i="30"/>
  <c r="D382" i="30"/>
  <c r="C382" i="30"/>
  <c r="N381" i="30"/>
  <c r="M381" i="30"/>
  <c r="L381" i="30"/>
  <c r="K381" i="30"/>
  <c r="J381" i="30"/>
  <c r="I381" i="30"/>
  <c r="H381" i="30"/>
  <c r="G381" i="30"/>
  <c r="F381" i="30"/>
  <c r="E381" i="30"/>
  <c r="D381" i="30"/>
  <c r="C381" i="30"/>
  <c r="N380" i="30"/>
  <c r="M380" i="30"/>
  <c r="L380" i="30"/>
  <c r="K380" i="30"/>
  <c r="J380" i="30"/>
  <c r="I380" i="30"/>
  <c r="H380" i="30"/>
  <c r="G380" i="30"/>
  <c r="F380" i="30"/>
  <c r="E380" i="30"/>
  <c r="D380" i="30"/>
  <c r="C380" i="30"/>
  <c r="N379" i="30"/>
  <c r="M379" i="30"/>
  <c r="L379" i="30"/>
  <c r="K379" i="30"/>
  <c r="J379" i="30"/>
  <c r="I379" i="30"/>
  <c r="H379" i="30"/>
  <c r="G379" i="30"/>
  <c r="F379" i="30"/>
  <c r="E379" i="30"/>
  <c r="D379" i="30"/>
  <c r="C379" i="30"/>
  <c r="N378" i="30"/>
  <c r="M378" i="30"/>
  <c r="L378" i="30"/>
  <c r="K378" i="30"/>
  <c r="J378" i="30"/>
  <c r="I378" i="30"/>
  <c r="H378" i="30"/>
  <c r="G378" i="30"/>
  <c r="F378" i="30"/>
  <c r="E378" i="30"/>
  <c r="D378" i="30"/>
  <c r="C378" i="30"/>
  <c r="N377" i="30"/>
  <c r="M377" i="30"/>
  <c r="L377" i="30"/>
  <c r="K377" i="30"/>
  <c r="J377" i="30"/>
  <c r="I377" i="30"/>
  <c r="H377" i="30"/>
  <c r="G377" i="30"/>
  <c r="F377" i="30"/>
  <c r="E377" i="30"/>
  <c r="D377" i="30"/>
  <c r="C377" i="30"/>
  <c r="N376" i="30"/>
  <c r="M376" i="30"/>
  <c r="L376" i="30"/>
  <c r="K376" i="30"/>
  <c r="J376" i="30"/>
  <c r="I376" i="30"/>
  <c r="H376" i="30"/>
  <c r="G376" i="30"/>
  <c r="F376" i="30"/>
  <c r="E376" i="30"/>
  <c r="D376" i="30"/>
  <c r="C376" i="30"/>
  <c r="N375" i="30"/>
  <c r="M375" i="30"/>
  <c r="L375" i="30"/>
  <c r="K375" i="30"/>
  <c r="J375" i="30"/>
  <c r="I375" i="30"/>
  <c r="H375" i="30"/>
  <c r="G375" i="30"/>
  <c r="F375" i="30"/>
  <c r="E375" i="30"/>
  <c r="D375" i="30"/>
  <c r="C375" i="30"/>
  <c r="N374" i="30"/>
  <c r="M374" i="30"/>
  <c r="L374" i="30"/>
  <c r="K374" i="30"/>
  <c r="J374" i="30"/>
  <c r="I374" i="30"/>
  <c r="H374" i="30"/>
  <c r="G374" i="30"/>
  <c r="F374" i="30"/>
  <c r="E374" i="30"/>
  <c r="D374" i="30"/>
  <c r="C374" i="30"/>
  <c r="N373" i="30"/>
  <c r="M373" i="30"/>
  <c r="L373" i="30"/>
  <c r="K373" i="30"/>
  <c r="J373" i="30"/>
  <c r="I373" i="30"/>
  <c r="H373" i="30"/>
  <c r="G373" i="30"/>
  <c r="F373" i="30"/>
  <c r="E373" i="30"/>
  <c r="D373" i="30"/>
  <c r="C373" i="30"/>
  <c r="N372" i="30"/>
  <c r="M372" i="30"/>
  <c r="L372" i="30"/>
  <c r="K372" i="30"/>
  <c r="J372" i="30"/>
  <c r="I372" i="30"/>
  <c r="H372" i="30"/>
  <c r="G372" i="30"/>
  <c r="F372" i="30"/>
  <c r="E372" i="30"/>
  <c r="D372" i="30"/>
  <c r="C372" i="30"/>
  <c r="N371" i="30"/>
  <c r="M371" i="30"/>
  <c r="L371" i="30"/>
  <c r="K371" i="30"/>
  <c r="J371" i="30"/>
  <c r="I371" i="30"/>
  <c r="H371" i="30"/>
  <c r="G371" i="30"/>
  <c r="F371" i="30"/>
  <c r="E371" i="30"/>
  <c r="D371" i="30"/>
  <c r="C371" i="30"/>
  <c r="N370" i="30"/>
  <c r="M370" i="30"/>
  <c r="L370" i="30"/>
  <c r="K370" i="30"/>
  <c r="J370" i="30"/>
  <c r="I370" i="30"/>
  <c r="H370" i="30"/>
  <c r="G370" i="30"/>
  <c r="F370" i="30"/>
  <c r="E370" i="30"/>
  <c r="D370" i="30"/>
  <c r="C370" i="30"/>
  <c r="N369" i="30"/>
  <c r="M369" i="30"/>
  <c r="L369" i="30"/>
  <c r="K369" i="30"/>
  <c r="J369" i="30"/>
  <c r="I369" i="30"/>
  <c r="H369" i="30"/>
  <c r="G369" i="30"/>
  <c r="F369" i="30"/>
  <c r="E369" i="30"/>
  <c r="D369" i="30"/>
  <c r="C369" i="30"/>
  <c r="N368" i="30"/>
  <c r="M368" i="30"/>
  <c r="L368" i="30"/>
  <c r="K368" i="30"/>
  <c r="J368" i="30"/>
  <c r="I368" i="30"/>
  <c r="H368" i="30"/>
  <c r="G368" i="30"/>
  <c r="F368" i="30"/>
  <c r="E368" i="30"/>
  <c r="D368" i="30"/>
  <c r="C368" i="30"/>
  <c r="N367" i="30"/>
  <c r="M367" i="30"/>
  <c r="L367" i="30"/>
  <c r="K367" i="30"/>
  <c r="J367" i="30"/>
  <c r="I367" i="30"/>
  <c r="H367" i="30"/>
  <c r="G367" i="30"/>
  <c r="F367" i="30"/>
  <c r="E367" i="30"/>
  <c r="D367" i="30"/>
  <c r="C367" i="30"/>
  <c r="N366" i="30"/>
  <c r="M366" i="30"/>
  <c r="L366" i="30"/>
  <c r="K366" i="30"/>
  <c r="J366" i="30"/>
  <c r="I366" i="30"/>
  <c r="H366" i="30"/>
  <c r="G366" i="30"/>
  <c r="F366" i="30"/>
  <c r="E366" i="30"/>
  <c r="D366" i="30"/>
  <c r="C366" i="30"/>
  <c r="N365" i="30"/>
  <c r="M365" i="30"/>
  <c r="L365" i="30"/>
  <c r="K365" i="30"/>
  <c r="J365" i="30"/>
  <c r="I365" i="30"/>
  <c r="H365" i="30"/>
  <c r="G365" i="30"/>
  <c r="F365" i="30"/>
  <c r="E365" i="30"/>
  <c r="D365" i="30"/>
  <c r="C365" i="30"/>
  <c r="O362" i="30"/>
  <c r="O361" i="30"/>
  <c r="O360" i="30"/>
  <c r="O359" i="30"/>
  <c r="P359" i="30" s="1"/>
  <c r="Q359" i="30" s="1"/>
  <c r="O358" i="30"/>
  <c r="O357" i="30"/>
  <c r="O356" i="30"/>
  <c r="O355" i="30"/>
  <c r="P356" i="30" s="1"/>
  <c r="Q356" i="30" s="1"/>
  <c r="O354" i="30"/>
  <c r="O353" i="30"/>
  <c r="O352" i="30"/>
  <c r="O351" i="30"/>
  <c r="O350" i="30"/>
  <c r="O349" i="30"/>
  <c r="O348" i="30"/>
  <c r="O345" i="30"/>
  <c r="O344" i="30"/>
  <c r="O343" i="30"/>
  <c r="O342" i="30"/>
  <c r="O341" i="30"/>
  <c r="O340" i="30"/>
  <c r="O339" i="30"/>
  <c r="P339" i="30" s="1"/>
  <c r="Q339" i="30" s="1"/>
  <c r="O338" i="30"/>
  <c r="P338" i="30" s="1"/>
  <c r="Q338" i="30" s="1"/>
  <c r="O337" i="30"/>
  <c r="O336" i="30"/>
  <c r="O335" i="30"/>
  <c r="O334" i="30"/>
  <c r="O333" i="30"/>
  <c r="P334" i="30" s="1"/>
  <c r="Q334" i="30" s="1"/>
  <c r="O332" i="30"/>
  <c r="O331" i="30"/>
  <c r="O330" i="30"/>
  <c r="P330" i="30" s="1"/>
  <c r="Q330" i="30" s="1"/>
  <c r="O329" i="30"/>
  <c r="O328" i="30"/>
  <c r="O327" i="30"/>
  <c r="O326" i="30"/>
  <c r="P326" i="30" s="1"/>
  <c r="Q326" i="30" s="1"/>
  <c r="O325" i="30"/>
  <c r="P325" i="30" s="1"/>
  <c r="Q325" i="30" s="1"/>
  <c r="O324" i="30"/>
  <c r="O323" i="30"/>
  <c r="O322" i="30"/>
  <c r="O321" i="30"/>
  <c r="O318" i="30"/>
  <c r="O317" i="30"/>
  <c r="P318" i="30" s="1"/>
  <c r="Q318" i="30" s="1"/>
  <c r="O316" i="30"/>
  <c r="O315" i="30"/>
  <c r="O314" i="30"/>
  <c r="O313" i="30"/>
  <c r="O312" i="30"/>
  <c r="O311" i="30"/>
  <c r="O310" i="30"/>
  <c r="O309" i="30"/>
  <c r="O308" i="30"/>
  <c r="O307" i="30"/>
  <c r="O306" i="30"/>
  <c r="O305" i="30"/>
  <c r="O304" i="30"/>
  <c r="O303" i="30"/>
  <c r="O302" i="30"/>
  <c r="O301" i="30"/>
  <c r="O300" i="30"/>
  <c r="O299" i="30"/>
  <c r="O298" i="30"/>
  <c r="O297" i="30"/>
  <c r="P297" i="30" s="1"/>
  <c r="Q297" i="30" s="1"/>
  <c r="O296" i="30"/>
  <c r="O295" i="30"/>
  <c r="O294" i="30"/>
  <c r="O292" i="30"/>
  <c r="O291" i="30"/>
  <c r="O290" i="30"/>
  <c r="O289" i="30"/>
  <c r="O288" i="30"/>
  <c r="O287" i="30"/>
  <c r="O286" i="30"/>
  <c r="P286" i="30" s="1"/>
  <c r="Q286" i="30" s="1"/>
  <c r="O285" i="30"/>
  <c r="O284" i="30"/>
  <c r="O283" i="30"/>
  <c r="O282" i="30"/>
  <c r="P282" i="30" s="1"/>
  <c r="Q282" i="30" s="1"/>
  <c r="O281" i="30"/>
  <c r="O280" i="30"/>
  <c r="P280" i="30" s="1"/>
  <c r="Q280" i="30" s="1"/>
  <c r="O279" i="30"/>
  <c r="O278" i="30"/>
  <c r="P279" i="30" s="1"/>
  <c r="Q279" i="30" s="1"/>
  <c r="O277" i="30"/>
  <c r="O276" i="30"/>
  <c r="O275" i="30"/>
  <c r="O274" i="30"/>
  <c r="P275" i="30" s="1"/>
  <c r="Q275" i="30" s="1"/>
  <c r="O273" i="30"/>
  <c r="O272" i="30"/>
  <c r="P272" i="30" s="1"/>
  <c r="Q272" i="30" s="1"/>
  <c r="O271" i="30"/>
  <c r="O270" i="30"/>
  <c r="O269" i="30"/>
  <c r="O268" i="30"/>
  <c r="O265" i="30"/>
  <c r="O264" i="30"/>
  <c r="O263" i="30"/>
  <c r="O262" i="30"/>
  <c r="O261" i="30"/>
  <c r="P261" i="30" s="1"/>
  <c r="Q261" i="30" s="1"/>
  <c r="O260" i="30"/>
  <c r="O259" i="30"/>
  <c r="O258" i="30"/>
  <c r="O257" i="30"/>
  <c r="P257" i="30" s="1"/>
  <c r="Q257" i="30" s="1"/>
  <c r="O256" i="30"/>
  <c r="O255" i="30"/>
  <c r="O254" i="30"/>
  <c r="O253" i="30"/>
  <c r="O252" i="30"/>
  <c r="O251" i="30"/>
  <c r="P251" i="30" s="1"/>
  <c r="Q251" i="30" s="1"/>
  <c r="O250" i="30"/>
  <c r="O249" i="30"/>
  <c r="O248" i="30"/>
  <c r="P248" i="30" s="1"/>
  <c r="Q248" i="30" s="1"/>
  <c r="O247" i="30"/>
  <c r="P247" i="30" s="1"/>
  <c r="Q247" i="30" s="1"/>
  <c r="O246" i="30"/>
  <c r="O245" i="30"/>
  <c r="O244" i="30"/>
  <c r="O243" i="30"/>
  <c r="O242" i="30"/>
  <c r="O241" i="30"/>
  <c r="P242" i="30" s="1"/>
  <c r="Q242" i="30" s="1"/>
  <c r="O239" i="30"/>
  <c r="O238" i="30"/>
  <c r="O237" i="30"/>
  <c r="O236" i="30"/>
  <c r="P236" i="30" s="1"/>
  <c r="Q236" i="30" s="1"/>
  <c r="O235" i="30"/>
  <c r="P235" i="30" s="1"/>
  <c r="Q235" i="30" s="1"/>
  <c r="O234" i="30"/>
  <c r="O233" i="30"/>
  <c r="O232" i="30"/>
  <c r="O231" i="30"/>
  <c r="O230" i="30"/>
  <c r="O229" i="30"/>
  <c r="O228" i="30"/>
  <c r="P228" i="30" s="1"/>
  <c r="Q228" i="30" s="1"/>
  <c r="O227" i="30"/>
  <c r="O226" i="30"/>
  <c r="O225" i="30"/>
  <c r="O224" i="30"/>
  <c r="O223" i="30"/>
  <c r="O222" i="30"/>
  <c r="O221" i="30"/>
  <c r="O220" i="30"/>
  <c r="O219" i="30"/>
  <c r="O218" i="30"/>
  <c r="O217" i="30"/>
  <c r="O216" i="30"/>
  <c r="O215" i="30"/>
  <c r="P216" i="30" s="1"/>
  <c r="Q216" i="30" s="1"/>
  <c r="O212" i="30"/>
  <c r="O211" i="30"/>
  <c r="O210" i="30"/>
  <c r="P210" i="30" s="1"/>
  <c r="Q210" i="30" s="1"/>
  <c r="O209" i="30"/>
  <c r="O208" i="30"/>
  <c r="O207" i="30"/>
  <c r="O206" i="30"/>
  <c r="O205" i="30"/>
  <c r="P205" i="30" s="1"/>
  <c r="Q205" i="30" s="1"/>
  <c r="O204" i="30"/>
  <c r="O203" i="30"/>
  <c r="O202" i="30"/>
  <c r="O201" i="30"/>
  <c r="O200" i="30"/>
  <c r="O199" i="30"/>
  <c r="O198" i="30"/>
  <c r="O197" i="30"/>
  <c r="O196" i="30"/>
  <c r="P196" i="30" s="1"/>
  <c r="Q196" i="30" s="1"/>
  <c r="O195" i="30"/>
  <c r="O194" i="30"/>
  <c r="O193" i="30"/>
  <c r="O192" i="30"/>
  <c r="P193" i="30" s="1"/>
  <c r="Q193" i="30" s="1"/>
  <c r="O191" i="30"/>
  <c r="P192" i="30" s="1"/>
  <c r="Q192" i="30" s="1"/>
  <c r="O190" i="30"/>
  <c r="O189" i="30"/>
  <c r="O188" i="30"/>
  <c r="O186" i="30"/>
  <c r="O185" i="30"/>
  <c r="P185" i="30" s="1"/>
  <c r="Q185" i="30" s="1"/>
  <c r="O184" i="30"/>
  <c r="P184" i="30" s="1"/>
  <c r="Q184" i="30" s="1"/>
  <c r="O183" i="30"/>
  <c r="O182" i="30"/>
  <c r="O181" i="30"/>
  <c r="O180" i="30"/>
  <c r="O179" i="30"/>
  <c r="O178" i="30"/>
  <c r="O177" i="30"/>
  <c r="O176" i="30"/>
  <c r="O175" i="30"/>
  <c r="O174" i="30"/>
  <c r="O173" i="30"/>
  <c r="O172" i="30"/>
  <c r="O171" i="30"/>
  <c r="O170" i="30"/>
  <c r="P170" i="30" s="1"/>
  <c r="Q170" i="30" s="1"/>
  <c r="O169" i="30"/>
  <c r="O168" i="30"/>
  <c r="O167" i="30"/>
  <c r="O166" i="30"/>
  <c r="O165" i="30"/>
  <c r="O164" i="30"/>
  <c r="O163" i="30"/>
  <c r="O162" i="30"/>
  <c r="O159" i="30"/>
  <c r="O158" i="30"/>
  <c r="O157" i="30"/>
  <c r="O156" i="30"/>
  <c r="P156" i="30" s="1"/>
  <c r="Q156" i="30" s="1"/>
  <c r="O155" i="30"/>
  <c r="O154" i="30"/>
  <c r="P154" i="30" s="1"/>
  <c r="Q154" i="30" s="1"/>
  <c r="O153" i="30"/>
  <c r="O152" i="30"/>
  <c r="O151" i="30"/>
  <c r="O150" i="30"/>
  <c r="O149" i="30"/>
  <c r="O148" i="30"/>
  <c r="O147" i="30"/>
  <c r="O146" i="30"/>
  <c r="P146" i="30" s="1"/>
  <c r="Q146" i="30" s="1"/>
  <c r="O145" i="30"/>
  <c r="P145" i="30" s="1"/>
  <c r="Q145" i="30" s="1"/>
  <c r="O144" i="30"/>
  <c r="O143" i="30"/>
  <c r="O142" i="30"/>
  <c r="O141" i="30"/>
  <c r="P141" i="30" s="1"/>
  <c r="Q141" i="30" s="1"/>
  <c r="O140" i="30"/>
  <c r="O139" i="30"/>
  <c r="O138" i="30"/>
  <c r="O137" i="30"/>
  <c r="O136" i="30"/>
  <c r="O135" i="30"/>
  <c r="O133" i="30"/>
  <c r="O132" i="30"/>
  <c r="O131" i="30"/>
  <c r="O130" i="30"/>
  <c r="O129" i="30"/>
  <c r="P130" i="30" s="1"/>
  <c r="Q130" i="30" s="1"/>
  <c r="O128" i="30"/>
  <c r="O127" i="30"/>
  <c r="O126" i="30"/>
  <c r="O125" i="30"/>
  <c r="O124" i="30"/>
  <c r="O123" i="30"/>
  <c r="O122" i="30"/>
  <c r="O121" i="30"/>
  <c r="O120" i="30"/>
  <c r="O119" i="30"/>
  <c r="O118" i="30"/>
  <c r="O117" i="30"/>
  <c r="O116" i="30"/>
  <c r="O115" i="30"/>
  <c r="O114" i="30"/>
  <c r="O113" i="30"/>
  <c r="O112" i="30"/>
  <c r="O111" i="30"/>
  <c r="P111" i="30" s="1"/>
  <c r="Q111" i="30" s="1"/>
  <c r="O110" i="30"/>
  <c r="O109" i="30"/>
  <c r="O106" i="30"/>
  <c r="O105" i="30"/>
  <c r="O104" i="30"/>
  <c r="P104" i="30" s="1"/>
  <c r="Q104" i="30" s="1"/>
  <c r="P103" i="30"/>
  <c r="Q103" i="30" s="1"/>
  <c r="O103" i="30"/>
  <c r="O102" i="30"/>
  <c r="O101" i="30"/>
  <c r="O100" i="30"/>
  <c r="P100" i="30" s="1"/>
  <c r="Q100" i="30" s="1"/>
  <c r="O99" i="30"/>
  <c r="O98" i="30"/>
  <c r="P98" i="30" s="1"/>
  <c r="Q98" i="30" s="1"/>
  <c r="O97" i="30"/>
  <c r="O96" i="30"/>
  <c r="O95" i="30"/>
  <c r="O94" i="30"/>
  <c r="O93" i="30"/>
  <c r="O92" i="30"/>
  <c r="O91" i="30"/>
  <c r="O90" i="30"/>
  <c r="P90" i="30" s="1"/>
  <c r="Q90" i="30" s="1"/>
  <c r="O89" i="30"/>
  <c r="O88" i="30"/>
  <c r="O87" i="30"/>
  <c r="O86" i="30"/>
  <c r="O85" i="30"/>
  <c r="O84" i="30"/>
  <c r="O83" i="30"/>
  <c r="O82" i="30"/>
  <c r="O80" i="30"/>
  <c r="P80" i="30" s="1"/>
  <c r="Q80" i="30" s="1"/>
  <c r="O79" i="30"/>
  <c r="O78" i="30"/>
  <c r="P78" i="30" s="1"/>
  <c r="Q78" i="30" s="1"/>
  <c r="O77" i="30"/>
  <c r="O76" i="30"/>
  <c r="O75" i="30"/>
  <c r="O74" i="30"/>
  <c r="O73" i="30"/>
  <c r="O72" i="30"/>
  <c r="O71" i="30"/>
  <c r="O70" i="30"/>
  <c r="O69" i="30"/>
  <c r="O68" i="30"/>
  <c r="P68" i="30" s="1"/>
  <c r="Q68" i="30" s="1"/>
  <c r="O67" i="30"/>
  <c r="O66" i="30"/>
  <c r="O65" i="30"/>
  <c r="O64" i="30"/>
  <c r="P64" i="30" s="1"/>
  <c r="Q64" i="30" s="1"/>
  <c r="O63" i="30"/>
  <c r="O62" i="30"/>
  <c r="O61" i="30"/>
  <c r="O60" i="30"/>
  <c r="O59" i="30"/>
  <c r="O58" i="30"/>
  <c r="O57" i="30"/>
  <c r="O56" i="30"/>
  <c r="O53" i="30"/>
  <c r="O52" i="30"/>
  <c r="O51" i="30"/>
  <c r="O50" i="30"/>
  <c r="O49" i="30"/>
  <c r="O48" i="30"/>
  <c r="O47" i="30"/>
  <c r="O46" i="30"/>
  <c r="O45" i="30"/>
  <c r="P45" i="30" s="1"/>
  <c r="Q45" i="30" s="1"/>
  <c r="P44" i="30"/>
  <c r="Q44" i="30" s="1"/>
  <c r="O44" i="30"/>
  <c r="O43" i="30"/>
  <c r="O42" i="30"/>
  <c r="P43" i="30" s="1"/>
  <c r="Q43" i="30" s="1"/>
  <c r="O41" i="30"/>
  <c r="O40" i="30"/>
  <c r="O39" i="30"/>
  <c r="O38" i="30"/>
  <c r="P38" i="30" s="1"/>
  <c r="Q38" i="30" s="1"/>
  <c r="O37" i="30"/>
  <c r="O36" i="30"/>
  <c r="O35" i="30"/>
  <c r="O34" i="30"/>
  <c r="O33" i="30"/>
  <c r="P33" i="30" s="1"/>
  <c r="Q33" i="30" s="1"/>
  <c r="O32" i="30"/>
  <c r="O31" i="30"/>
  <c r="O30" i="30"/>
  <c r="O29" i="30"/>
  <c r="O27" i="30"/>
  <c r="O26" i="30"/>
  <c r="O25" i="30"/>
  <c r="O24" i="30"/>
  <c r="O23" i="30"/>
  <c r="O22" i="30"/>
  <c r="O21" i="30"/>
  <c r="O20" i="30"/>
  <c r="O19" i="30"/>
  <c r="O18" i="30"/>
  <c r="P18" i="30" s="1"/>
  <c r="Q18" i="30" s="1"/>
  <c r="O17" i="30"/>
  <c r="O16" i="30"/>
  <c r="O15" i="30"/>
  <c r="O14" i="30"/>
  <c r="O13" i="30"/>
  <c r="O12" i="30"/>
  <c r="O11" i="30"/>
  <c r="O10" i="30"/>
  <c r="O9" i="30"/>
  <c r="O8" i="30"/>
  <c r="O7" i="30"/>
  <c r="O6" i="30"/>
  <c r="O5" i="30"/>
  <c r="O4" i="30"/>
  <c r="P4" i="30" s="1"/>
  <c r="Q4" i="30" s="1"/>
  <c r="O3" i="30"/>
  <c r="J21" i="28"/>
  <c r="G58" i="28"/>
  <c r="F58" i="28"/>
  <c r="E58" i="28"/>
  <c r="D58" i="28"/>
  <c r="C58" i="28"/>
  <c r="B58" i="28"/>
  <c r="H58" i="28" s="1"/>
  <c r="G35" i="28"/>
  <c r="F35" i="28"/>
  <c r="E35" i="28"/>
  <c r="D35" i="28"/>
  <c r="C35" i="28"/>
  <c r="B35" i="28"/>
  <c r="H35" i="28" s="1"/>
  <c r="G30" i="28"/>
  <c r="F30" i="28"/>
  <c r="E30" i="28"/>
  <c r="D30" i="28"/>
  <c r="C30" i="28"/>
  <c r="B30" i="28"/>
  <c r="H30" i="28" s="1"/>
  <c r="H22" i="28"/>
  <c r="G21" i="28"/>
  <c r="F21" i="28"/>
  <c r="E21" i="28"/>
  <c r="D21" i="28"/>
  <c r="H21" i="28" s="1"/>
  <c r="C21" i="28"/>
  <c r="B21" i="28"/>
  <c r="H20" i="28"/>
  <c r="H19" i="28"/>
  <c r="H18" i="28"/>
  <c r="H17" i="28"/>
  <c r="H16" i="28"/>
  <c r="H15" i="28"/>
  <c r="H14" i="28"/>
  <c r="H13" i="28"/>
  <c r="H12" i="28"/>
  <c r="H11" i="28"/>
  <c r="H10" i="28"/>
  <c r="H9" i="28"/>
  <c r="H8" i="28"/>
  <c r="H7" i="28"/>
  <c r="H6" i="28"/>
  <c r="H5" i="28"/>
  <c r="H4" i="28"/>
  <c r="L21" i="12"/>
  <c r="M21" i="12"/>
  <c r="L22" i="12"/>
  <c r="M22" i="12"/>
  <c r="L23" i="12"/>
  <c r="M23" i="12"/>
  <c r="L24" i="12"/>
  <c r="M24" i="12"/>
  <c r="K26" i="12"/>
  <c r="K24" i="12"/>
  <c r="K23" i="12"/>
  <c r="K22" i="12"/>
  <c r="K21" i="12"/>
  <c r="L28" i="12"/>
  <c r="M28" i="12"/>
  <c r="K28" i="12"/>
  <c r="I28" i="12"/>
  <c r="J28" i="12"/>
  <c r="H28" i="12"/>
  <c r="F28" i="12"/>
  <c r="G28" i="12"/>
  <c r="E28" i="12"/>
  <c r="C28" i="12"/>
  <c r="D28" i="12"/>
  <c r="B28" i="12"/>
  <c r="L27" i="12"/>
  <c r="M27" i="12"/>
  <c r="K27" i="12"/>
  <c r="I27" i="12"/>
  <c r="J27" i="12"/>
  <c r="H27" i="12"/>
  <c r="F27" i="12"/>
  <c r="G27" i="12"/>
  <c r="E27" i="12"/>
  <c r="C27" i="12"/>
  <c r="D27" i="12"/>
  <c r="B27" i="12"/>
  <c r="L25" i="12"/>
  <c r="M25" i="12"/>
  <c r="K25" i="12"/>
  <c r="I25" i="12"/>
  <c r="J25" i="12"/>
  <c r="H25" i="12"/>
  <c r="F25" i="12"/>
  <c r="G25" i="12"/>
  <c r="E25" i="12"/>
  <c r="C25" i="12"/>
  <c r="D25" i="12"/>
  <c r="B25" i="12"/>
  <c r="L20" i="12"/>
  <c r="M20" i="12"/>
  <c r="K20" i="12"/>
  <c r="I20" i="12"/>
  <c r="J20" i="12"/>
  <c r="I21" i="12"/>
  <c r="J21" i="12"/>
  <c r="I22" i="12"/>
  <c r="J22" i="12"/>
  <c r="I23" i="12"/>
  <c r="J23" i="12"/>
  <c r="I24" i="12"/>
  <c r="J24" i="12"/>
  <c r="H22" i="12"/>
  <c r="H23" i="12"/>
  <c r="H24" i="12"/>
  <c r="H21" i="12"/>
  <c r="H20" i="12"/>
  <c r="F20" i="12"/>
  <c r="G20" i="12"/>
  <c r="F21" i="12"/>
  <c r="G21" i="12"/>
  <c r="F22" i="12"/>
  <c r="G22" i="12"/>
  <c r="F23" i="12"/>
  <c r="G23" i="12"/>
  <c r="F24" i="12"/>
  <c r="G24" i="12"/>
  <c r="E22" i="12"/>
  <c r="E23" i="12"/>
  <c r="E24" i="12"/>
  <c r="E21" i="12"/>
  <c r="E20" i="12"/>
  <c r="C20" i="12"/>
  <c r="D20" i="12"/>
  <c r="C21" i="12"/>
  <c r="D21" i="12"/>
  <c r="C22" i="12"/>
  <c r="D22" i="12"/>
  <c r="C23" i="12"/>
  <c r="D23" i="12"/>
  <c r="C24" i="12"/>
  <c r="D24" i="12"/>
  <c r="B22" i="12"/>
  <c r="B23" i="12"/>
  <c r="B24" i="12"/>
  <c r="B21" i="12"/>
  <c r="B20" i="12"/>
  <c r="O18" i="12"/>
  <c r="L4" i="12"/>
  <c r="M4" i="12"/>
  <c r="L5" i="12"/>
  <c r="M5" i="12"/>
  <c r="L6" i="12"/>
  <c r="M6" i="12"/>
  <c r="L7" i="12"/>
  <c r="M7" i="12"/>
  <c r="L8" i="12"/>
  <c r="M8" i="12"/>
  <c r="L9" i="12"/>
  <c r="M9" i="12"/>
  <c r="L10" i="12"/>
  <c r="M10" i="12"/>
  <c r="L11" i="12"/>
  <c r="M11" i="12"/>
  <c r="L12" i="12"/>
  <c r="M12" i="12"/>
  <c r="L13" i="12"/>
  <c r="M13" i="12"/>
  <c r="L14" i="12"/>
  <c r="M14" i="12"/>
  <c r="L15" i="12"/>
  <c r="M15" i="12"/>
  <c r="L16" i="12"/>
  <c r="M16" i="12"/>
  <c r="K5" i="12"/>
  <c r="K6" i="12"/>
  <c r="K7" i="12"/>
  <c r="K8" i="12"/>
  <c r="K9" i="12"/>
  <c r="K10" i="12"/>
  <c r="K11" i="12"/>
  <c r="K12" i="12"/>
  <c r="K13" i="12"/>
  <c r="K14" i="12"/>
  <c r="K15" i="12"/>
  <c r="K16" i="12"/>
  <c r="K4" i="12"/>
  <c r="I4" i="12"/>
  <c r="J4" i="12"/>
  <c r="I5" i="12"/>
  <c r="J5" i="12"/>
  <c r="I6" i="12"/>
  <c r="J6" i="12"/>
  <c r="I7" i="12"/>
  <c r="J7" i="12"/>
  <c r="I8" i="12"/>
  <c r="J8" i="12"/>
  <c r="I9" i="12"/>
  <c r="J9" i="12"/>
  <c r="I10" i="12"/>
  <c r="J10" i="12"/>
  <c r="I11" i="12"/>
  <c r="J11" i="12"/>
  <c r="I12" i="12"/>
  <c r="J12" i="12"/>
  <c r="I13" i="12"/>
  <c r="J13" i="12"/>
  <c r="I14" i="12"/>
  <c r="J14" i="12"/>
  <c r="I15" i="12"/>
  <c r="J15" i="12"/>
  <c r="I16" i="12"/>
  <c r="J16" i="12"/>
  <c r="H5" i="12"/>
  <c r="H6" i="12"/>
  <c r="H7" i="12"/>
  <c r="H8" i="12"/>
  <c r="H9" i="12"/>
  <c r="H10" i="12"/>
  <c r="H11" i="12"/>
  <c r="H12" i="12"/>
  <c r="H13" i="12"/>
  <c r="H14" i="12"/>
  <c r="H15" i="12"/>
  <c r="H16" i="12"/>
  <c r="H4" i="12"/>
  <c r="F4" i="12"/>
  <c r="G4" i="12"/>
  <c r="F5" i="12"/>
  <c r="G5" i="12"/>
  <c r="F6" i="12"/>
  <c r="G6" i="12"/>
  <c r="F7" i="12"/>
  <c r="G7" i="12"/>
  <c r="F8" i="12"/>
  <c r="G8" i="12"/>
  <c r="F9" i="12"/>
  <c r="G9" i="12"/>
  <c r="F10" i="12"/>
  <c r="G10" i="12"/>
  <c r="F11" i="12"/>
  <c r="G11" i="12"/>
  <c r="F12" i="12"/>
  <c r="G12" i="12"/>
  <c r="F13" i="12"/>
  <c r="G13" i="12"/>
  <c r="F14" i="12"/>
  <c r="G14" i="12"/>
  <c r="F15" i="12"/>
  <c r="G15" i="12"/>
  <c r="F16" i="12"/>
  <c r="G16" i="12"/>
  <c r="E5" i="12"/>
  <c r="E6" i="12"/>
  <c r="E7" i="12"/>
  <c r="E8" i="12"/>
  <c r="E9" i="12"/>
  <c r="E10" i="12"/>
  <c r="E11" i="12"/>
  <c r="E12" i="12"/>
  <c r="E13" i="12"/>
  <c r="E14" i="12"/>
  <c r="E15" i="12"/>
  <c r="E16" i="12"/>
  <c r="E4" i="12"/>
  <c r="C4" i="12"/>
  <c r="D4" i="12"/>
  <c r="C5" i="12"/>
  <c r="D5" i="12"/>
  <c r="C6" i="12"/>
  <c r="D6" i="12"/>
  <c r="C7" i="12"/>
  <c r="D7" i="12"/>
  <c r="C8" i="12"/>
  <c r="D8" i="12"/>
  <c r="C9" i="12"/>
  <c r="D9" i="12"/>
  <c r="C10" i="12"/>
  <c r="D10" i="12"/>
  <c r="C11" i="12"/>
  <c r="D11" i="12"/>
  <c r="C12" i="12"/>
  <c r="D12" i="12"/>
  <c r="C13" i="12"/>
  <c r="D13" i="12"/>
  <c r="C14" i="12"/>
  <c r="D14" i="12"/>
  <c r="C15" i="12"/>
  <c r="D15" i="12"/>
  <c r="C16" i="12"/>
  <c r="D16" i="12"/>
  <c r="B5" i="12"/>
  <c r="B6" i="12"/>
  <c r="B7" i="12"/>
  <c r="B8" i="12"/>
  <c r="B9" i="12"/>
  <c r="B10" i="12"/>
  <c r="B11" i="12"/>
  <c r="B12" i="12"/>
  <c r="B13" i="12"/>
  <c r="B14" i="12"/>
  <c r="B15" i="12"/>
  <c r="B16" i="12"/>
  <c r="B4" i="12"/>
  <c r="E41" i="16"/>
  <c r="X26" i="24"/>
  <c r="X19" i="24"/>
  <c r="X8" i="24"/>
  <c r="X7" i="24"/>
  <c r="X6" i="24"/>
  <c r="X5" i="24"/>
  <c r="X28" i="24"/>
  <c r="X24" i="24"/>
  <c r="X23" i="24"/>
  <c r="X22" i="24"/>
  <c r="X21" i="24"/>
  <c r="X9" i="24"/>
  <c r="X10" i="24"/>
  <c r="X11" i="24"/>
  <c r="X12" i="24"/>
  <c r="X13" i="24"/>
  <c r="X14" i="24"/>
  <c r="X15" i="24"/>
  <c r="X16" i="24"/>
  <c r="X17" i="24"/>
  <c r="E4" i="2"/>
  <c r="P246" i="30" l="1"/>
  <c r="Q246" i="30" s="1"/>
  <c r="P79" i="30"/>
  <c r="Q79" i="30" s="1"/>
  <c r="P194" i="30"/>
  <c r="Q194" i="30" s="1"/>
  <c r="P13" i="30"/>
  <c r="Q13" i="30" s="1"/>
  <c r="P181" i="30"/>
  <c r="Q181" i="30" s="1"/>
  <c r="P350" i="30"/>
  <c r="Q350" i="30" s="1"/>
  <c r="P152" i="30"/>
  <c r="Q152" i="30" s="1"/>
  <c r="P262" i="30"/>
  <c r="Q262" i="30" s="1"/>
  <c r="P307" i="30"/>
  <c r="Q307" i="30" s="1"/>
  <c r="P15" i="30"/>
  <c r="Q15" i="30" s="1"/>
  <c r="P57" i="30"/>
  <c r="Q57" i="30" s="1"/>
  <c r="P125" i="30"/>
  <c r="Q125" i="30" s="1"/>
  <c r="P140" i="30"/>
  <c r="Q140" i="30" s="1"/>
  <c r="P209" i="30"/>
  <c r="Q209" i="30" s="1"/>
  <c r="P237" i="30"/>
  <c r="Q237" i="30" s="1"/>
  <c r="P337" i="30"/>
  <c r="Q337" i="30" s="1"/>
  <c r="P23" i="30"/>
  <c r="Q23" i="30" s="1"/>
  <c r="P133" i="30"/>
  <c r="Q133" i="30" s="1"/>
  <c r="P260" i="30"/>
  <c r="Q260" i="30" s="1"/>
  <c r="P27" i="30"/>
  <c r="Q27" i="30" s="1"/>
  <c r="P195" i="30"/>
  <c r="Q195" i="30" s="1"/>
  <c r="P291" i="30"/>
  <c r="Q291" i="30" s="1"/>
  <c r="P69" i="30"/>
  <c r="Q69" i="30" s="1"/>
  <c r="P224" i="30"/>
  <c r="Q224" i="30" s="1"/>
  <c r="P323" i="30"/>
  <c r="Q323" i="30" s="1"/>
  <c r="O380" i="30"/>
  <c r="P197" i="30"/>
  <c r="Q197" i="30" s="1"/>
  <c r="P324" i="30"/>
  <c r="Q324" i="30" s="1"/>
  <c r="O377" i="30"/>
  <c r="P273" i="30"/>
  <c r="Q273" i="30" s="1"/>
  <c r="P121" i="30"/>
  <c r="Q121" i="30" s="1"/>
  <c r="P289" i="30"/>
  <c r="Q289" i="30" s="1"/>
  <c r="P26" i="30"/>
  <c r="Q26" i="30" s="1"/>
  <c r="P222" i="30"/>
  <c r="Q222" i="30" s="1"/>
  <c r="P349" i="30"/>
  <c r="Q349" i="30" s="1"/>
  <c r="P53" i="30"/>
  <c r="Q53" i="30" s="1"/>
  <c r="P335" i="30"/>
  <c r="Q335" i="30" s="1"/>
  <c r="P42" i="30"/>
  <c r="Q42" i="30" s="1"/>
  <c r="P168" i="30"/>
  <c r="Q168" i="30" s="1"/>
  <c r="P249" i="30"/>
  <c r="Q249" i="30" s="1"/>
  <c r="P351" i="30"/>
  <c r="Q351" i="30" s="1"/>
  <c r="P17" i="30"/>
  <c r="Q17" i="30" s="1"/>
  <c r="P172" i="30"/>
  <c r="Q172" i="30" s="1"/>
  <c r="P212" i="30"/>
  <c r="Q212" i="30" s="1"/>
  <c r="P227" i="30"/>
  <c r="Q227" i="30" s="1"/>
  <c r="P311" i="30"/>
  <c r="Q311" i="30" s="1"/>
  <c r="O370" i="30"/>
  <c r="P370" i="30" s="1"/>
  <c r="P287" i="30"/>
  <c r="Q287" i="30" s="1"/>
  <c r="O386" i="30"/>
  <c r="P303" i="30"/>
  <c r="Q303" i="30" s="1"/>
  <c r="P67" i="30"/>
  <c r="Q67" i="30" s="1"/>
  <c r="P52" i="30"/>
  <c r="Q52" i="30" s="1"/>
  <c r="P180" i="30"/>
  <c r="Q180" i="30" s="1"/>
  <c r="P312" i="30"/>
  <c r="Q312" i="30" s="1"/>
  <c r="P116" i="30"/>
  <c r="Q116" i="30" s="1"/>
  <c r="P158" i="30"/>
  <c r="Q158" i="30" s="1"/>
  <c r="P270" i="30"/>
  <c r="Q270" i="30" s="1"/>
  <c r="P284" i="30"/>
  <c r="Q284" i="30" s="1"/>
  <c r="P313" i="30"/>
  <c r="Q313" i="30" s="1"/>
  <c r="P357" i="30"/>
  <c r="Q357" i="30" s="1"/>
  <c r="P10" i="30"/>
  <c r="Q10" i="30" s="1"/>
  <c r="P66" i="30"/>
  <c r="Q66" i="30" s="1"/>
  <c r="P120" i="30"/>
  <c r="Q120" i="30" s="1"/>
  <c r="P39" i="30"/>
  <c r="Q39" i="30" s="1"/>
  <c r="P93" i="30"/>
  <c r="Q93" i="30" s="1"/>
  <c r="P221" i="30"/>
  <c r="Q221" i="30" s="1"/>
  <c r="P94" i="30"/>
  <c r="Q94" i="30" s="1"/>
  <c r="P166" i="30"/>
  <c r="Q166" i="30" s="1"/>
  <c r="P206" i="30"/>
  <c r="Q206" i="30" s="1"/>
  <c r="P61" i="30"/>
  <c r="Q61" i="30" s="1"/>
  <c r="P74" i="30"/>
  <c r="Q74" i="30" s="1"/>
  <c r="P115" i="30"/>
  <c r="Q115" i="30" s="1"/>
  <c r="P144" i="30"/>
  <c r="Q144" i="30" s="1"/>
  <c r="P173" i="30"/>
  <c r="Q173" i="30" s="1"/>
  <c r="P186" i="30"/>
  <c r="Q186" i="30" s="1"/>
  <c r="P269" i="30"/>
  <c r="Q269" i="30" s="1"/>
  <c r="P298" i="30"/>
  <c r="Q298" i="30" s="1"/>
  <c r="P340" i="30"/>
  <c r="Q340" i="30" s="1"/>
  <c r="P47" i="30"/>
  <c r="Q47" i="30" s="1"/>
  <c r="P89" i="30"/>
  <c r="Q89" i="30" s="1"/>
  <c r="P117" i="30"/>
  <c r="Q117" i="30" s="1"/>
  <c r="P131" i="30"/>
  <c r="Q131" i="30" s="1"/>
  <c r="P159" i="30"/>
  <c r="Q159" i="30" s="1"/>
  <c r="P217" i="30"/>
  <c r="Q217" i="30" s="1"/>
  <c r="P231" i="30"/>
  <c r="Q231" i="30" s="1"/>
  <c r="P256" i="30"/>
  <c r="Q256" i="30" s="1"/>
  <c r="P300" i="30"/>
  <c r="Q300" i="30" s="1"/>
  <c r="P16" i="30"/>
  <c r="Q16" i="30" s="1"/>
  <c r="P252" i="30"/>
  <c r="Q252" i="30" s="1"/>
  <c r="P317" i="30"/>
  <c r="Q317" i="30" s="1"/>
  <c r="P5" i="30"/>
  <c r="Q5" i="30" s="1"/>
  <c r="P83" i="30"/>
  <c r="Q83" i="30" s="1"/>
  <c r="P137" i="30"/>
  <c r="Q137" i="30" s="1"/>
  <c r="P198" i="30"/>
  <c r="Q198" i="30" s="1"/>
  <c r="P285" i="30"/>
  <c r="Q285" i="30" s="1"/>
  <c r="P352" i="30"/>
  <c r="Q352" i="30" s="1"/>
  <c r="O371" i="30"/>
  <c r="P371" i="30" s="1"/>
  <c r="Q371" i="30" s="1"/>
  <c r="P40" i="30"/>
  <c r="Q40" i="30" s="1"/>
  <c r="P84" i="30"/>
  <c r="Q84" i="30" s="1"/>
  <c r="P244" i="30"/>
  <c r="Q244" i="30" s="1"/>
  <c r="P277" i="30"/>
  <c r="Q277" i="30" s="1"/>
  <c r="P308" i="30"/>
  <c r="Q308" i="30" s="1"/>
  <c r="P85" i="30"/>
  <c r="Q85" i="30" s="1"/>
  <c r="P149" i="30"/>
  <c r="Q149" i="30" s="1"/>
  <c r="P200" i="30"/>
  <c r="Q200" i="30" s="1"/>
  <c r="P232" i="30"/>
  <c r="Q232" i="30" s="1"/>
  <c r="P333" i="30"/>
  <c r="Q333" i="30" s="1"/>
  <c r="P354" i="30"/>
  <c r="Q354" i="30" s="1"/>
  <c r="P8" i="30"/>
  <c r="Q8" i="30" s="1"/>
  <c r="P95" i="30"/>
  <c r="Q95" i="30" s="1"/>
  <c r="O378" i="30"/>
  <c r="P378" i="30" s="1"/>
  <c r="Q378" i="30" s="1"/>
  <c r="P233" i="30"/>
  <c r="Q233" i="30" s="1"/>
  <c r="P9" i="30"/>
  <c r="Q9" i="30" s="1"/>
  <c r="P31" i="30"/>
  <c r="Q31" i="30" s="1"/>
  <c r="P65" i="30"/>
  <c r="Q65" i="30" s="1"/>
  <c r="P75" i="30"/>
  <c r="Q75" i="30" s="1"/>
  <c r="P96" i="30"/>
  <c r="Q96" i="30" s="1"/>
  <c r="P110" i="30"/>
  <c r="Q110" i="30" s="1"/>
  <c r="P202" i="30"/>
  <c r="Q202" i="30" s="1"/>
  <c r="P211" i="30"/>
  <c r="Q211" i="30" s="1"/>
  <c r="P223" i="30"/>
  <c r="Q223" i="30" s="1"/>
  <c r="P299" i="30"/>
  <c r="Q299" i="30" s="1"/>
  <c r="O387" i="30"/>
  <c r="P387" i="30" s="1"/>
  <c r="Q387" i="30" s="1"/>
  <c r="P355" i="30"/>
  <c r="Q355" i="30" s="1"/>
  <c r="P243" i="30"/>
  <c r="Q243" i="30" s="1"/>
  <c r="P263" i="30"/>
  <c r="Q263" i="30" s="1"/>
  <c r="P51" i="30"/>
  <c r="Q51" i="30" s="1"/>
  <c r="P341" i="30"/>
  <c r="Q341" i="30" s="1"/>
  <c r="P30" i="30"/>
  <c r="Q30" i="30" s="1"/>
  <c r="P118" i="30"/>
  <c r="Q118" i="30" s="1"/>
  <c r="P129" i="30"/>
  <c r="Q129" i="30" s="1"/>
  <c r="P150" i="30"/>
  <c r="Q150" i="30" s="1"/>
  <c r="P171" i="30"/>
  <c r="Q171" i="30" s="1"/>
  <c r="P191" i="30"/>
  <c r="Q191" i="30" s="1"/>
  <c r="P265" i="30"/>
  <c r="Q265" i="30" s="1"/>
  <c r="P278" i="30"/>
  <c r="Q278" i="30" s="1"/>
  <c r="P342" i="30"/>
  <c r="Q342" i="30" s="1"/>
  <c r="P119" i="30"/>
  <c r="Q119" i="30" s="1"/>
  <c r="P151" i="30"/>
  <c r="Q151" i="30" s="1"/>
  <c r="P182" i="30"/>
  <c r="Q182" i="30" s="1"/>
  <c r="P288" i="30"/>
  <c r="Q288" i="30" s="1"/>
  <c r="P136" i="30"/>
  <c r="Q136" i="30" s="1"/>
  <c r="P73" i="30"/>
  <c r="Q73" i="30" s="1"/>
  <c r="O369" i="30"/>
  <c r="P369" i="30" s="1"/>
  <c r="O373" i="30"/>
  <c r="P22" i="30"/>
  <c r="Q22" i="30" s="1"/>
  <c r="P34" i="30"/>
  <c r="Q34" i="30" s="1"/>
  <c r="P99" i="30"/>
  <c r="Q99" i="30" s="1"/>
  <c r="P112" i="30"/>
  <c r="Q112" i="30" s="1"/>
  <c r="P153" i="30"/>
  <c r="Q153" i="30" s="1"/>
  <c r="P165" i="30"/>
  <c r="Q165" i="30" s="1"/>
  <c r="P226" i="30"/>
  <c r="Q226" i="30" s="1"/>
  <c r="P271" i="30"/>
  <c r="Q271" i="30" s="1"/>
  <c r="P302" i="30"/>
  <c r="Q302" i="30" s="1"/>
  <c r="O368" i="30"/>
  <c r="P368" i="30" s="1"/>
  <c r="O376" i="30"/>
  <c r="P122" i="30"/>
  <c r="Q122" i="30" s="1"/>
  <c r="P175" i="30"/>
  <c r="Q175" i="30" s="1"/>
  <c r="P292" i="30"/>
  <c r="Q292" i="30" s="1"/>
  <c r="P304" i="30"/>
  <c r="Q304" i="30" s="1"/>
  <c r="P314" i="30"/>
  <c r="Q314" i="30" s="1"/>
  <c r="P24" i="30"/>
  <c r="Q24" i="30" s="1"/>
  <c r="P59" i="30"/>
  <c r="Q59" i="30" s="1"/>
  <c r="P102" i="30"/>
  <c r="Q102" i="30" s="1"/>
  <c r="P123" i="30"/>
  <c r="Q123" i="30" s="1"/>
  <c r="P176" i="30"/>
  <c r="Q176" i="30" s="1"/>
  <c r="P328" i="30"/>
  <c r="Q328" i="30" s="1"/>
  <c r="O372" i="30"/>
  <c r="P372" i="30" s="1"/>
  <c r="Q372" i="30" s="1"/>
  <c r="O375" i="30"/>
  <c r="P14" i="30"/>
  <c r="Q14" i="30" s="1"/>
  <c r="P60" i="30"/>
  <c r="Q60" i="30" s="1"/>
  <c r="P71" i="30"/>
  <c r="Q71" i="30" s="1"/>
  <c r="P124" i="30"/>
  <c r="Q124" i="30" s="1"/>
  <c r="P155" i="30"/>
  <c r="Q155" i="30" s="1"/>
  <c r="P167" i="30"/>
  <c r="Q167" i="30" s="1"/>
  <c r="P207" i="30"/>
  <c r="Q207" i="30" s="1"/>
  <c r="P218" i="30"/>
  <c r="Q218" i="30" s="1"/>
  <c r="P239" i="30"/>
  <c r="Q239" i="30" s="1"/>
  <c r="P283" i="30"/>
  <c r="Q283" i="30" s="1"/>
  <c r="P306" i="30"/>
  <c r="Q306" i="30" s="1"/>
  <c r="P316" i="30"/>
  <c r="Q316" i="30" s="1"/>
  <c r="P329" i="30"/>
  <c r="Q329" i="30" s="1"/>
  <c r="P361" i="30"/>
  <c r="Q361" i="30" s="1"/>
  <c r="P113" i="30"/>
  <c r="Q113" i="30" s="1"/>
  <c r="P343" i="30"/>
  <c r="Q343" i="30" s="1"/>
  <c r="P76" i="30"/>
  <c r="Q76" i="30" s="1"/>
  <c r="P201" i="30"/>
  <c r="Q201" i="30" s="1"/>
  <c r="P344" i="30"/>
  <c r="Q344" i="30" s="1"/>
  <c r="P230" i="30"/>
  <c r="Q230" i="30" s="1"/>
  <c r="P229" i="30"/>
  <c r="Q229" i="30" s="1"/>
  <c r="P264" i="30"/>
  <c r="Q264" i="30" s="1"/>
  <c r="P322" i="30"/>
  <c r="Q322" i="30" s="1"/>
  <c r="P25" i="30"/>
  <c r="Q25" i="30" s="1"/>
  <c r="P35" i="30"/>
  <c r="Q35" i="30" s="1"/>
  <c r="P63" i="30"/>
  <c r="Q63" i="30" s="1"/>
  <c r="P97" i="30"/>
  <c r="Q97" i="30" s="1"/>
  <c r="P163" i="30"/>
  <c r="Q163" i="30" s="1"/>
  <c r="P295" i="30"/>
  <c r="Q295" i="30" s="1"/>
  <c r="P358" i="30"/>
  <c r="Q358" i="30" s="1"/>
  <c r="P253" i="30"/>
  <c r="Q253" i="30" s="1"/>
  <c r="P86" i="30"/>
  <c r="Q86" i="30" s="1"/>
  <c r="P174" i="30"/>
  <c r="Q174" i="30" s="1"/>
  <c r="P32" i="30"/>
  <c r="Q32" i="30" s="1"/>
  <c r="P309" i="30"/>
  <c r="Q309" i="30" s="1"/>
  <c r="P105" i="30"/>
  <c r="Q105" i="30" s="1"/>
  <c r="P238" i="30"/>
  <c r="Q238" i="30" s="1"/>
  <c r="P6" i="30"/>
  <c r="Q6" i="30" s="1"/>
  <c r="P126" i="30"/>
  <c r="Q126" i="30" s="1"/>
  <c r="P258" i="30"/>
  <c r="Q258" i="30" s="1"/>
  <c r="O381" i="30"/>
  <c r="P381" i="30" s="1"/>
  <c r="Q381" i="30" s="1"/>
  <c r="P20" i="30"/>
  <c r="Q20" i="30" s="1"/>
  <c r="P19" i="30"/>
  <c r="Q19" i="30" s="1"/>
  <c r="P12" i="30"/>
  <c r="Q12" i="30" s="1"/>
  <c r="P11" i="30"/>
  <c r="Q11" i="30" s="1"/>
  <c r="P139" i="30"/>
  <c r="Q139" i="30" s="1"/>
  <c r="P138" i="30"/>
  <c r="Q138" i="30" s="1"/>
  <c r="O385" i="30"/>
  <c r="P386" i="30" s="1"/>
  <c r="Q386" i="30" s="1"/>
  <c r="P46" i="30"/>
  <c r="Q46" i="30" s="1"/>
  <c r="P208" i="30"/>
  <c r="Q208" i="30" s="1"/>
  <c r="O384" i="30"/>
  <c r="P49" i="30"/>
  <c r="Q49" i="30" s="1"/>
  <c r="P48" i="30"/>
  <c r="Q48" i="30" s="1"/>
  <c r="P336" i="30"/>
  <c r="Q336" i="30" s="1"/>
  <c r="P142" i="30"/>
  <c r="Q142" i="30" s="1"/>
  <c r="P177" i="30"/>
  <c r="Q177" i="30" s="1"/>
  <c r="P301" i="30"/>
  <c r="Q301" i="30" s="1"/>
  <c r="P91" i="30"/>
  <c r="Q91" i="30" s="1"/>
  <c r="P147" i="30"/>
  <c r="Q147" i="30" s="1"/>
  <c r="P219" i="30"/>
  <c r="Q219" i="30" s="1"/>
  <c r="O379" i="30"/>
  <c r="P62" i="30"/>
  <c r="Q62" i="30" s="1"/>
  <c r="P132" i="30"/>
  <c r="Q132" i="30" s="1"/>
  <c r="P190" i="30"/>
  <c r="Q190" i="30" s="1"/>
  <c r="P189" i="30"/>
  <c r="Q189" i="30" s="1"/>
  <c r="P250" i="30"/>
  <c r="Q250" i="30" s="1"/>
  <c r="O389" i="30"/>
  <c r="P315" i="30"/>
  <c r="Q315" i="30" s="1"/>
  <c r="P360" i="30"/>
  <c r="Q360" i="30" s="1"/>
  <c r="O374" i="30"/>
  <c r="P92" i="30"/>
  <c r="Q92" i="30" s="1"/>
  <c r="P148" i="30"/>
  <c r="Q148" i="30" s="1"/>
  <c r="P183" i="30"/>
  <c r="Q183" i="30" s="1"/>
  <c r="P225" i="30"/>
  <c r="Q225" i="30" s="1"/>
  <c r="P259" i="30"/>
  <c r="Q259" i="30" s="1"/>
  <c r="P296" i="30"/>
  <c r="Q296" i="30" s="1"/>
  <c r="P41" i="30"/>
  <c r="Q41" i="30" s="1"/>
  <c r="P332" i="30"/>
  <c r="Q332" i="30" s="1"/>
  <c r="P331" i="30"/>
  <c r="Q331" i="30" s="1"/>
  <c r="P7" i="30"/>
  <c r="Q7" i="30" s="1"/>
  <c r="O382" i="30"/>
  <c r="P58" i="30"/>
  <c r="Q58" i="30" s="1"/>
  <c r="P164" i="30"/>
  <c r="Q164" i="30" s="1"/>
  <c r="P345" i="30"/>
  <c r="Q345" i="30" s="1"/>
  <c r="O367" i="30"/>
  <c r="P367" i="30" s="1"/>
  <c r="O383" i="30"/>
  <c r="P37" i="30"/>
  <c r="Q37" i="30" s="1"/>
  <c r="P72" i="30"/>
  <c r="Q72" i="30" s="1"/>
  <c r="P87" i="30"/>
  <c r="Q87" i="30" s="1"/>
  <c r="P143" i="30"/>
  <c r="Q143" i="30" s="1"/>
  <c r="P178" i="30"/>
  <c r="Q178" i="30" s="1"/>
  <c r="P254" i="30"/>
  <c r="Q254" i="30" s="1"/>
  <c r="P276" i="30"/>
  <c r="Q276" i="30" s="1"/>
  <c r="P362" i="30"/>
  <c r="Q362" i="30" s="1"/>
  <c r="P77" i="30"/>
  <c r="Q77" i="30" s="1"/>
  <c r="P114" i="30"/>
  <c r="Q114" i="30" s="1"/>
  <c r="P169" i="30"/>
  <c r="Q169" i="30" s="1"/>
  <c r="P204" i="30"/>
  <c r="Q204" i="30" s="1"/>
  <c r="P203" i="30"/>
  <c r="Q203" i="30" s="1"/>
  <c r="P245" i="30"/>
  <c r="Q245" i="30" s="1"/>
  <c r="P281" i="30"/>
  <c r="Q281" i="30" s="1"/>
  <c r="P70" i="30"/>
  <c r="Q70" i="30" s="1"/>
  <c r="P128" i="30"/>
  <c r="Q128" i="30" s="1"/>
  <c r="P127" i="30"/>
  <c r="Q127" i="30" s="1"/>
  <c r="P274" i="30"/>
  <c r="Q274" i="30" s="1"/>
  <c r="P36" i="30"/>
  <c r="Q36" i="30" s="1"/>
  <c r="P106" i="30"/>
  <c r="Q106" i="30" s="1"/>
  <c r="P310" i="30"/>
  <c r="Q310" i="30" s="1"/>
  <c r="P220" i="30"/>
  <c r="Q220" i="30" s="1"/>
  <c r="P50" i="30"/>
  <c r="Q50" i="30" s="1"/>
  <c r="P88" i="30"/>
  <c r="Q88" i="30" s="1"/>
  <c r="P179" i="30"/>
  <c r="Q179" i="30" s="1"/>
  <c r="P199" i="30"/>
  <c r="Q199" i="30" s="1"/>
  <c r="P255" i="30"/>
  <c r="Q255" i="30" s="1"/>
  <c r="O366" i="30"/>
  <c r="P366" i="30" s="1"/>
  <c r="P353" i="30"/>
  <c r="Q353" i="30" s="1"/>
  <c r="P101" i="30"/>
  <c r="Q101" i="30" s="1"/>
  <c r="P157" i="30"/>
  <c r="Q157" i="30" s="1"/>
  <c r="P234" i="30"/>
  <c r="Q234" i="30" s="1"/>
  <c r="P290" i="30"/>
  <c r="Q290" i="30" s="1"/>
  <c r="P305" i="30"/>
  <c r="Q305" i="30" s="1"/>
  <c r="P327" i="30"/>
  <c r="Q327" i="30" s="1"/>
  <c r="O365" i="30"/>
  <c r="O388" i="30"/>
  <c r="P21" i="30"/>
  <c r="Q21" i="30" s="1"/>
  <c r="N25" i="12"/>
  <c r="O25" i="12" s="1"/>
  <c r="F4" i="2"/>
  <c r="F17" i="2" s="1"/>
  <c r="F8" i="11" s="1"/>
  <c r="F15" i="2"/>
  <c r="F14" i="2"/>
  <c r="F13" i="2"/>
  <c r="F12" i="2"/>
  <c r="F16" i="2"/>
  <c r="F11" i="2"/>
  <c r="F10" i="2"/>
  <c r="F9" i="2"/>
  <c r="F8" i="2"/>
  <c r="F7" i="2"/>
  <c r="F6" i="2"/>
  <c r="F5" i="2"/>
  <c r="E17" i="2"/>
  <c r="F68" i="11"/>
  <c r="U29" i="24"/>
  <c r="T29" i="24"/>
  <c r="S29" i="24"/>
  <c r="P29" i="24"/>
  <c r="O29" i="24"/>
  <c r="N29" i="24"/>
  <c r="K29" i="24"/>
  <c r="J29" i="24"/>
  <c r="I29" i="24"/>
  <c r="F29" i="24"/>
  <c r="E29" i="24"/>
  <c r="D29" i="24"/>
  <c r="Y28" i="24"/>
  <c r="V28" i="24"/>
  <c r="W28" i="24" s="1"/>
  <c r="Q28" i="24"/>
  <c r="R28" i="24" s="1"/>
  <c r="L28" i="24"/>
  <c r="M28" i="24" s="1"/>
  <c r="G28" i="24"/>
  <c r="H28" i="24" s="1"/>
  <c r="Y27" i="24"/>
  <c r="V27" i="24"/>
  <c r="W27" i="24" s="1"/>
  <c r="Q27" i="24"/>
  <c r="R27" i="24" s="1"/>
  <c r="L27" i="24"/>
  <c r="M27" i="24" s="1"/>
  <c r="G27" i="24"/>
  <c r="H27" i="24" s="1"/>
  <c r="Y26" i="24"/>
  <c r="V26" i="24"/>
  <c r="W26" i="24" s="1"/>
  <c r="Q26" i="24"/>
  <c r="R26" i="24" s="1"/>
  <c r="L26" i="24"/>
  <c r="M26" i="24" s="1"/>
  <c r="G26" i="24"/>
  <c r="H26" i="24" s="1"/>
  <c r="X25" i="24"/>
  <c r="Y25" i="24" s="1"/>
  <c r="V25" i="24"/>
  <c r="W25" i="24" s="1"/>
  <c r="Q25" i="24"/>
  <c r="R25" i="24" s="1"/>
  <c r="L25" i="24"/>
  <c r="M25" i="24" s="1"/>
  <c r="G25" i="24"/>
  <c r="H25" i="24" s="1"/>
  <c r="Y24" i="24"/>
  <c r="V24" i="24"/>
  <c r="W24" i="24" s="1"/>
  <c r="Q24" i="24"/>
  <c r="R24" i="24" s="1"/>
  <c r="L24" i="24"/>
  <c r="M24" i="24" s="1"/>
  <c r="G24" i="24"/>
  <c r="H24" i="24" s="1"/>
  <c r="V23" i="24"/>
  <c r="W23" i="24" s="1"/>
  <c r="Q23" i="24"/>
  <c r="R23" i="24" s="1"/>
  <c r="L23" i="24"/>
  <c r="M23" i="24" s="1"/>
  <c r="G23" i="24"/>
  <c r="H23" i="24" s="1"/>
  <c r="Y22" i="24"/>
  <c r="V22" i="24"/>
  <c r="W22" i="24" s="1"/>
  <c r="Q22" i="24"/>
  <c r="R22" i="24" s="1"/>
  <c r="L22" i="24"/>
  <c r="M22" i="24" s="1"/>
  <c r="G22" i="24"/>
  <c r="H22" i="24" s="1"/>
  <c r="Y21" i="24"/>
  <c r="V21" i="24"/>
  <c r="W21" i="24" s="1"/>
  <c r="Q21" i="24"/>
  <c r="R21" i="24" s="1"/>
  <c r="L21" i="24"/>
  <c r="M21" i="24" s="1"/>
  <c r="G21" i="24"/>
  <c r="H21" i="24" s="1"/>
  <c r="Y20" i="24"/>
  <c r="R20" i="24"/>
  <c r="U19" i="24"/>
  <c r="T19" i="24"/>
  <c r="S19" i="24"/>
  <c r="P19" i="24"/>
  <c r="O19" i="24"/>
  <c r="N19" i="24"/>
  <c r="K19" i="24"/>
  <c r="J19" i="24"/>
  <c r="I19" i="24"/>
  <c r="F19" i="24"/>
  <c r="E19" i="24"/>
  <c r="D19" i="24"/>
  <c r="Y18" i="24"/>
  <c r="V18" i="24"/>
  <c r="W18" i="24" s="1"/>
  <c r="Q18" i="24"/>
  <c r="R18" i="24" s="1"/>
  <c r="L18" i="24"/>
  <c r="M18" i="24" s="1"/>
  <c r="G18" i="24"/>
  <c r="H18" i="24" s="1"/>
  <c r="Y17" i="24"/>
  <c r="V17" i="24"/>
  <c r="W17" i="24" s="1"/>
  <c r="Q17" i="24"/>
  <c r="R17" i="24" s="1"/>
  <c r="L17" i="24"/>
  <c r="M17" i="24" s="1"/>
  <c r="G17" i="24"/>
  <c r="H17" i="24" s="1"/>
  <c r="Y16" i="24"/>
  <c r="V16" i="24"/>
  <c r="W16" i="24" s="1"/>
  <c r="Q16" i="24"/>
  <c r="R16" i="24" s="1"/>
  <c r="L16" i="24"/>
  <c r="M16" i="24" s="1"/>
  <c r="G16" i="24"/>
  <c r="H16" i="24" s="1"/>
  <c r="C16" i="24"/>
  <c r="B16" i="24"/>
  <c r="Y15" i="24"/>
  <c r="V15" i="24"/>
  <c r="W15" i="24" s="1"/>
  <c r="Q15" i="24"/>
  <c r="R15" i="24" s="1"/>
  <c r="L15" i="24"/>
  <c r="M15" i="24" s="1"/>
  <c r="G15" i="24"/>
  <c r="H15" i="24" s="1"/>
  <c r="Y14" i="24"/>
  <c r="V14" i="24"/>
  <c r="W14" i="24" s="1"/>
  <c r="Q14" i="24"/>
  <c r="R14" i="24" s="1"/>
  <c r="L14" i="24"/>
  <c r="M14" i="24" s="1"/>
  <c r="G14" i="24"/>
  <c r="H14" i="24" s="1"/>
  <c r="Y13" i="24"/>
  <c r="V13" i="24"/>
  <c r="W13" i="24" s="1"/>
  <c r="Q13" i="24"/>
  <c r="R13" i="24" s="1"/>
  <c r="L13" i="24"/>
  <c r="M13" i="24" s="1"/>
  <c r="G13" i="24"/>
  <c r="H13" i="24" s="1"/>
  <c r="C13" i="24"/>
  <c r="B13" i="24"/>
  <c r="Y12" i="24"/>
  <c r="V12" i="24"/>
  <c r="W12" i="24" s="1"/>
  <c r="Q12" i="24"/>
  <c r="R12" i="24" s="1"/>
  <c r="L12" i="24"/>
  <c r="M12" i="24" s="1"/>
  <c r="G12" i="24"/>
  <c r="H12" i="24" s="1"/>
  <c r="Y11" i="24"/>
  <c r="V11" i="24"/>
  <c r="W11" i="24" s="1"/>
  <c r="Q11" i="24"/>
  <c r="R11" i="24" s="1"/>
  <c r="L11" i="24"/>
  <c r="M11" i="24" s="1"/>
  <c r="G11" i="24"/>
  <c r="H11" i="24" s="1"/>
  <c r="Y10" i="24"/>
  <c r="V10" i="24"/>
  <c r="W10" i="24" s="1"/>
  <c r="Q10" i="24"/>
  <c r="R10" i="24" s="1"/>
  <c r="L10" i="24"/>
  <c r="M10" i="24" s="1"/>
  <c r="G10" i="24"/>
  <c r="H10" i="24" s="1"/>
  <c r="Y9" i="24"/>
  <c r="V9" i="24"/>
  <c r="W9" i="24" s="1"/>
  <c r="Q9" i="24"/>
  <c r="R9" i="24" s="1"/>
  <c r="L9" i="24"/>
  <c r="M9" i="24" s="1"/>
  <c r="G9" i="24"/>
  <c r="H9" i="24" s="1"/>
  <c r="Y8" i="24"/>
  <c r="V8" i="24"/>
  <c r="W8" i="24" s="1"/>
  <c r="Q8" i="24"/>
  <c r="R8" i="24" s="1"/>
  <c r="L8" i="24"/>
  <c r="M8" i="24" s="1"/>
  <c r="G8" i="24"/>
  <c r="H8" i="24" s="1"/>
  <c r="Y7" i="24"/>
  <c r="V7" i="24"/>
  <c r="W7" i="24" s="1"/>
  <c r="Q7" i="24"/>
  <c r="R7" i="24" s="1"/>
  <c r="L7" i="24"/>
  <c r="M7" i="24" s="1"/>
  <c r="G7" i="24"/>
  <c r="H7" i="24" s="1"/>
  <c r="Y6" i="24"/>
  <c r="V6" i="24"/>
  <c r="W6" i="24" s="1"/>
  <c r="Q6" i="24"/>
  <c r="R6" i="24" s="1"/>
  <c r="L6" i="24"/>
  <c r="M6" i="24" s="1"/>
  <c r="G6" i="24"/>
  <c r="H6" i="24" s="1"/>
  <c r="Y5" i="24"/>
  <c r="V5" i="24"/>
  <c r="W5" i="24" s="1"/>
  <c r="Q5" i="24"/>
  <c r="R5" i="24" s="1"/>
  <c r="L5" i="24"/>
  <c r="M5" i="24" s="1"/>
  <c r="G5" i="24"/>
  <c r="H5" i="24" s="1"/>
  <c r="P373" i="30" l="1"/>
  <c r="Q373" i="30" s="1"/>
  <c r="P383" i="30"/>
  <c r="Q383" i="30" s="1"/>
  <c r="P375" i="30"/>
  <c r="Q375" i="30" s="1"/>
  <c r="R381" i="30" s="1"/>
  <c r="P379" i="30"/>
  <c r="Q379" i="30" s="1"/>
  <c r="Q367" i="30"/>
  <c r="P374" i="30"/>
  <c r="Q374" i="30" s="1"/>
  <c r="R379" i="30" s="1"/>
  <c r="Q369" i="30"/>
  <c r="Q370" i="30"/>
  <c r="R376" i="30" s="1"/>
  <c r="P380" i="30"/>
  <c r="Q380" i="30" s="1"/>
  <c r="P388" i="30"/>
  <c r="Q388" i="30" s="1"/>
  <c r="P376" i="30"/>
  <c r="Q376" i="30" s="1"/>
  <c r="P377" i="30"/>
  <c r="Q377" i="30" s="1"/>
  <c r="R383" i="30" s="1"/>
  <c r="R384" i="30"/>
  <c r="P389" i="30"/>
  <c r="Q389" i="30" s="1"/>
  <c r="P382" i="30"/>
  <c r="Q382" i="30" s="1"/>
  <c r="P384" i="30"/>
  <c r="Q384" i="30" s="1"/>
  <c r="P385" i="30"/>
  <c r="Q385" i="30" s="1"/>
  <c r="Q366" i="30"/>
  <c r="Q368" i="30"/>
  <c r="R374" i="30" s="1"/>
  <c r="Q19" i="24"/>
  <c r="R19" i="24" s="1"/>
  <c r="S30" i="24"/>
  <c r="D30" i="24"/>
  <c r="E30" i="24"/>
  <c r="U30" i="24"/>
  <c r="K30" i="24"/>
  <c r="P30" i="24"/>
  <c r="T30" i="24"/>
  <c r="V30" i="24" s="1"/>
  <c r="O30" i="24"/>
  <c r="V19" i="24"/>
  <c r="W19" i="24" s="1"/>
  <c r="G19" i="24"/>
  <c r="V29" i="24"/>
  <c r="W29" i="24" s="1"/>
  <c r="W30" i="24" s="1"/>
  <c r="Q29" i="24"/>
  <c r="R29" i="24" s="1"/>
  <c r="N30" i="24"/>
  <c r="J30" i="24"/>
  <c r="L29" i="24"/>
  <c r="M29" i="24" s="1"/>
  <c r="I30" i="24"/>
  <c r="X29" i="24"/>
  <c r="Y29" i="24" s="1"/>
  <c r="G29" i="24"/>
  <c r="H29" i="24" s="1"/>
  <c r="Y23" i="24"/>
  <c r="F30" i="24"/>
  <c r="L19" i="24"/>
  <c r="M19" i="24" s="1"/>
  <c r="R382" i="30" l="1"/>
  <c r="R377" i="30"/>
  <c r="R385" i="30"/>
  <c r="R380" i="30"/>
  <c r="R389" i="30"/>
  <c r="R375" i="30"/>
  <c r="R378" i="30"/>
  <c r="R386" i="30"/>
  <c r="R373" i="30"/>
  <c r="R388" i="30"/>
  <c r="R368" i="30"/>
  <c r="R367" i="30"/>
  <c r="R372" i="30"/>
  <c r="R371" i="30"/>
  <c r="R370" i="30"/>
  <c r="R369" i="30"/>
  <c r="R387" i="30"/>
  <c r="L30" i="24"/>
  <c r="G30" i="24"/>
  <c r="H19" i="24"/>
  <c r="H30" i="24" s="1"/>
  <c r="Q30" i="24"/>
  <c r="R30" i="24" s="1"/>
  <c r="Y19" i="24"/>
  <c r="E2" i="16" s="1"/>
  <c r="X30" i="24"/>
  <c r="Y30" i="24" s="1"/>
  <c r="M30" i="24"/>
  <c r="E14" i="16"/>
  <c r="E10" i="16"/>
  <c r="E53" i="11"/>
  <c r="F22" i="11" l="1"/>
  <c r="F44" i="11" l="1"/>
  <c r="I35" i="8"/>
  <c r="F14" i="8"/>
  <c r="D14" i="8"/>
  <c r="D37" i="10"/>
  <c r="D33" i="10"/>
  <c r="D31" i="10"/>
  <c r="F42" i="10"/>
  <c r="F32" i="10"/>
  <c r="F3" i="10"/>
  <c r="D14" i="27"/>
  <c r="C3" i="27"/>
  <c r="D3" i="27" s="1"/>
  <c r="C4" i="27"/>
  <c r="D4" i="27"/>
  <c r="H149" i="21"/>
  <c r="H146" i="21" l="1"/>
  <c r="H147" i="21"/>
  <c r="H148" i="21"/>
  <c r="H107" i="21" l="1"/>
  <c r="H137" i="21"/>
  <c r="E128" i="21"/>
  <c r="E127" i="21"/>
  <c r="D115" i="21"/>
  <c r="E114" i="21"/>
  <c r="H113" i="21"/>
  <c r="E96" i="21"/>
  <c r="E95" i="21"/>
  <c r="E84" i="21"/>
  <c r="E83" i="21"/>
  <c r="H82" i="21"/>
  <c r="E72" i="21"/>
  <c r="E55" i="21"/>
  <c r="E54" i="21"/>
  <c r="E35" i="21"/>
  <c r="E50" i="21"/>
  <c r="E52" i="21"/>
  <c r="H52" i="21"/>
  <c r="E34" i="21"/>
  <c r="E32" i="21"/>
  <c r="E25" i="21"/>
  <c r="E19" i="21"/>
  <c r="E18" i="21"/>
  <c r="D600" i="4" l="1"/>
  <c r="D602" i="4"/>
  <c r="D485" i="4"/>
  <c r="E323" i="4"/>
  <c r="D322" i="4"/>
  <c r="H326" i="4"/>
  <c r="D267" i="4"/>
  <c r="D153" i="4"/>
  <c r="E102" i="4"/>
  <c r="D3" i="4"/>
  <c r="E224" i="1"/>
  <c r="E207" i="1"/>
  <c r="E190" i="1"/>
  <c r="E173" i="1"/>
  <c r="E156" i="1"/>
  <c r="E139" i="1"/>
  <c r="E122" i="1"/>
  <c r="E105" i="1"/>
  <c r="E88" i="1"/>
  <c r="E71" i="1"/>
  <c r="E54" i="1"/>
  <c r="E37" i="1"/>
  <c r="E20" i="1"/>
  <c r="G17" i="2"/>
  <c r="L7" i="26" l="1"/>
  <c r="M7" i="26"/>
  <c r="K7" i="26"/>
  <c r="I7" i="26"/>
  <c r="J7" i="26"/>
  <c r="H7" i="26"/>
  <c r="F7" i="26"/>
  <c r="G7" i="26"/>
  <c r="E7" i="26"/>
  <c r="C7" i="26"/>
  <c r="D7" i="26"/>
  <c r="B7" i="26"/>
  <c r="X41" i="24" l="1"/>
  <c r="X40" i="24"/>
  <c r="X37" i="24"/>
  <c r="X59" i="24"/>
  <c r="X55" i="24"/>
  <c r="X54" i="24"/>
  <c r="X52" i="24"/>
  <c r="X48" i="24"/>
  <c r="X39" i="24"/>
  <c r="X42" i="24"/>
  <c r="X43" i="24"/>
  <c r="X45" i="24"/>
  <c r="X46" i="24"/>
  <c r="X38" i="24"/>
  <c r="X36" i="24"/>
  <c r="X57" i="24"/>
  <c r="X87" i="24"/>
  <c r="U60" i="24" l="1"/>
  <c r="T60" i="24"/>
  <c r="S60" i="24"/>
  <c r="P60" i="24"/>
  <c r="O60" i="24"/>
  <c r="N60" i="24"/>
  <c r="K60" i="24"/>
  <c r="J60" i="24"/>
  <c r="I60" i="24"/>
  <c r="F60" i="24"/>
  <c r="E60" i="24"/>
  <c r="D60" i="24"/>
  <c r="Y59" i="24"/>
  <c r="V59" i="24"/>
  <c r="W59" i="24" s="1"/>
  <c r="Q59" i="24"/>
  <c r="R59" i="24" s="1"/>
  <c r="L59" i="24"/>
  <c r="M59" i="24" s="1"/>
  <c r="G59" i="24"/>
  <c r="H59" i="24" s="1"/>
  <c r="Y58" i="24"/>
  <c r="V58" i="24"/>
  <c r="W58" i="24" s="1"/>
  <c r="Q58" i="24"/>
  <c r="R58" i="24" s="1"/>
  <c r="L58" i="24"/>
  <c r="M58" i="24" s="1"/>
  <c r="G58" i="24"/>
  <c r="H58" i="24" s="1"/>
  <c r="Y57" i="24"/>
  <c r="V57" i="24"/>
  <c r="W57" i="24" s="1"/>
  <c r="Q57" i="24"/>
  <c r="R57" i="24" s="1"/>
  <c r="L57" i="24"/>
  <c r="M57" i="24" s="1"/>
  <c r="G57" i="24"/>
  <c r="H57" i="24" s="1"/>
  <c r="X56" i="24"/>
  <c r="Y56" i="24" s="1"/>
  <c r="V56" i="24"/>
  <c r="W56" i="24" s="1"/>
  <c r="Q56" i="24"/>
  <c r="R56" i="24" s="1"/>
  <c r="L56" i="24"/>
  <c r="M56" i="24" s="1"/>
  <c r="G56" i="24"/>
  <c r="H56" i="24" s="1"/>
  <c r="Y55" i="24"/>
  <c r="V55" i="24"/>
  <c r="W55" i="24" s="1"/>
  <c r="Q55" i="24"/>
  <c r="R55" i="24" s="1"/>
  <c r="L55" i="24"/>
  <c r="M55" i="24" s="1"/>
  <c r="G55" i="24"/>
  <c r="H55" i="24" s="1"/>
  <c r="Y54" i="24"/>
  <c r="V54" i="24"/>
  <c r="W54" i="24" s="1"/>
  <c r="Q54" i="24"/>
  <c r="R54" i="24" s="1"/>
  <c r="L54" i="24"/>
  <c r="M54" i="24" s="1"/>
  <c r="G54" i="24"/>
  <c r="H54" i="24" s="1"/>
  <c r="X53" i="24"/>
  <c r="Y53" i="24" s="1"/>
  <c r="V53" i="24"/>
  <c r="W53" i="24" s="1"/>
  <c r="Q53" i="24"/>
  <c r="R53" i="24" s="1"/>
  <c r="L53" i="24"/>
  <c r="M53" i="24" s="1"/>
  <c r="G53" i="24"/>
  <c r="H53" i="24" s="1"/>
  <c r="Y52" i="24"/>
  <c r="O7" i="26" s="1"/>
  <c r="V52" i="24"/>
  <c r="W52" i="24" s="1"/>
  <c r="Q52" i="24"/>
  <c r="R52" i="24" s="1"/>
  <c r="L52" i="24"/>
  <c r="M52" i="24" s="1"/>
  <c r="G52" i="24"/>
  <c r="H52" i="24" s="1"/>
  <c r="B52" i="24"/>
  <c r="Y51" i="24"/>
  <c r="R51" i="24"/>
  <c r="U50" i="24"/>
  <c r="T50" i="24"/>
  <c r="S50" i="24"/>
  <c r="P50" i="24"/>
  <c r="Y49" i="24"/>
  <c r="V49" i="24"/>
  <c r="W49" i="24" s="1"/>
  <c r="Q49" i="24"/>
  <c r="R49" i="24" s="1"/>
  <c r="L49" i="24"/>
  <c r="M49" i="24" s="1"/>
  <c r="G49" i="24"/>
  <c r="H49" i="24" s="1"/>
  <c r="Y48" i="24"/>
  <c r="V48" i="24"/>
  <c r="W48" i="24" s="1"/>
  <c r="Q48" i="24"/>
  <c r="R48" i="24" s="1"/>
  <c r="L48" i="24"/>
  <c r="M48" i="24" s="1"/>
  <c r="G48" i="24"/>
  <c r="H48" i="24" s="1"/>
  <c r="V47" i="24"/>
  <c r="W47" i="24" s="1"/>
  <c r="O47" i="24"/>
  <c r="N47" i="24"/>
  <c r="K47" i="24"/>
  <c r="J47" i="24"/>
  <c r="I47" i="24"/>
  <c r="F47" i="24"/>
  <c r="E47" i="24"/>
  <c r="D47" i="24"/>
  <c r="C47" i="24"/>
  <c r="B47" i="24"/>
  <c r="Y46" i="24"/>
  <c r="V46" i="24"/>
  <c r="W46" i="24" s="1"/>
  <c r="Q46" i="24"/>
  <c r="R46" i="24" s="1"/>
  <c r="L46" i="24"/>
  <c r="M46" i="24" s="1"/>
  <c r="G46" i="24"/>
  <c r="H46" i="24" s="1"/>
  <c r="Y45" i="24"/>
  <c r="V45" i="24"/>
  <c r="W45" i="24" s="1"/>
  <c r="Q45" i="24"/>
  <c r="R45" i="24" s="1"/>
  <c r="L45" i="24"/>
  <c r="M45" i="24" s="1"/>
  <c r="G45" i="24"/>
  <c r="H45" i="24" s="1"/>
  <c r="V44" i="24"/>
  <c r="W44" i="24" s="1"/>
  <c r="O44" i="24"/>
  <c r="N44" i="24"/>
  <c r="K44" i="24"/>
  <c r="J44" i="24"/>
  <c r="I44" i="24"/>
  <c r="F44" i="24"/>
  <c r="E44" i="24"/>
  <c r="D44" i="24"/>
  <c r="Y43" i="24"/>
  <c r="V43" i="24"/>
  <c r="W43" i="24" s="1"/>
  <c r="Q43" i="24"/>
  <c r="R43" i="24" s="1"/>
  <c r="L43" i="24"/>
  <c r="M43" i="24" s="1"/>
  <c r="G43" i="24"/>
  <c r="H43" i="24" s="1"/>
  <c r="Y42" i="24"/>
  <c r="V42" i="24"/>
  <c r="W42" i="24" s="1"/>
  <c r="Q42" i="24"/>
  <c r="R42" i="24" s="1"/>
  <c r="L42" i="24"/>
  <c r="M42" i="24" s="1"/>
  <c r="G42" i="24"/>
  <c r="H42" i="24" s="1"/>
  <c r="Y41" i="24"/>
  <c r="V41" i="24"/>
  <c r="W41" i="24" s="1"/>
  <c r="Q41" i="24"/>
  <c r="R41" i="24" s="1"/>
  <c r="L41" i="24"/>
  <c r="M41" i="24" s="1"/>
  <c r="G41" i="24"/>
  <c r="H41" i="24" s="1"/>
  <c r="Y40" i="24"/>
  <c r="V40" i="24"/>
  <c r="W40" i="24" s="1"/>
  <c r="Q40" i="24"/>
  <c r="R40" i="24" s="1"/>
  <c r="L40" i="24"/>
  <c r="M40" i="24" s="1"/>
  <c r="G40" i="24"/>
  <c r="H40" i="24" s="1"/>
  <c r="Y39" i="24"/>
  <c r="V39" i="24"/>
  <c r="W39" i="24" s="1"/>
  <c r="Q39" i="24"/>
  <c r="R39" i="24" s="1"/>
  <c r="L39" i="24"/>
  <c r="M39" i="24" s="1"/>
  <c r="G39" i="24"/>
  <c r="H39" i="24" s="1"/>
  <c r="Y38" i="24"/>
  <c r="V38" i="24"/>
  <c r="W38" i="24" s="1"/>
  <c r="Q38" i="24"/>
  <c r="R38" i="24" s="1"/>
  <c r="L38" i="24"/>
  <c r="M38" i="24" s="1"/>
  <c r="G38" i="24"/>
  <c r="H38" i="24" s="1"/>
  <c r="Y37" i="24"/>
  <c r="V37" i="24"/>
  <c r="W37" i="24" s="1"/>
  <c r="Q37" i="24"/>
  <c r="R37" i="24" s="1"/>
  <c r="L37" i="24"/>
  <c r="M37" i="24" s="1"/>
  <c r="G37" i="24"/>
  <c r="H37" i="24" s="1"/>
  <c r="Y36" i="24"/>
  <c r="V36" i="24"/>
  <c r="W36" i="24" s="1"/>
  <c r="Q36" i="24"/>
  <c r="R36" i="24" s="1"/>
  <c r="L36" i="24"/>
  <c r="M36" i="24" s="1"/>
  <c r="G36" i="24"/>
  <c r="H36" i="24" s="1"/>
  <c r="K50" i="24" l="1"/>
  <c r="G44" i="24"/>
  <c r="H44" i="24" s="1"/>
  <c r="X44" i="24"/>
  <c r="F50" i="24"/>
  <c r="F61" i="24" s="1"/>
  <c r="N50" i="24"/>
  <c r="D50" i="24"/>
  <c r="D61" i="24" s="1"/>
  <c r="E50" i="24"/>
  <c r="E61" i="24" s="1"/>
  <c r="J50" i="24"/>
  <c r="J61" i="24" s="1"/>
  <c r="L60" i="24"/>
  <c r="M60" i="24" s="1"/>
  <c r="Q60" i="24"/>
  <c r="R60" i="24" s="1"/>
  <c r="V50" i="24"/>
  <c r="W50" i="24" s="1"/>
  <c r="P61" i="24"/>
  <c r="L47" i="24"/>
  <c r="M47" i="24" s="1"/>
  <c r="Q47" i="24"/>
  <c r="R47" i="24" s="1"/>
  <c r="L44" i="24"/>
  <c r="M44" i="24" s="1"/>
  <c r="Q44" i="24"/>
  <c r="R44" i="24" s="1"/>
  <c r="O50" i="24"/>
  <c r="O61" i="24" s="1"/>
  <c r="G47" i="24"/>
  <c r="H47" i="24" s="1"/>
  <c r="X47" i="24"/>
  <c r="Y47" i="24" s="1"/>
  <c r="X60" i="24"/>
  <c r="U61" i="24"/>
  <c r="V60" i="24"/>
  <c r="W60" i="24" s="1"/>
  <c r="S61" i="24"/>
  <c r="K61" i="24"/>
  <c r="G60" i="24"/>
  <c r="H60" i="24" s="1"/>
  <c r="I50" i="24"/>
  <c r="Y44" i="24"/>
  <c r="G50" i="24"/>
  <c r="Y60" i="24"/>
  <c r="T61" i="24"/>
  <c r="V61" i="24" s="1"/>
  <c r="Q50" i="24" l="1"/>
  <c r="R50" i="24" s="1"/>
  <c r="N61" i="24"/>
  <c r="Q61" i="24" s="1"/>
  <c r="R61" i="24" s="1"/>
  <c r="W61" i="24"/>
  <c r="L50" i="24"/>
  <c r="M50" i="24" s="1"/>
  <c r="M61" i="24" s="1"/>
  <c r="I61" i="24"/>
  <c r="L61" i="24" s="1"/>
  <c r="X50" i="24"/>
  <c r="G61" i="24"/>
  <c r="H50" i="24"/>
  <c r="H61" i="24" s="1"/>
  <c r="Y50" i="24" l="1"/>
  <c r="X61" i="24"/>
  <c r="Y61" i="24" s="1"/>
  <c r="N7" i="26" l="1"/>
  <c r="F67" i="10" l="1"/>
  <c r="H41" i="21" l="1"/>
  <c r="E20" i="21"/>
  <c r="E4" i="4" l="1"/>
  <c r="F714" i="4"/>
  <c r="H12" i="2" l="1"/>
  <c r="X85" i="24" l="1"/>
  <c r="H42" i="32"/>
  <c r="B25" i="18" s="1"/>
  <c r="B26" i="18" s="1"/>
  <c r="B18" i="18" l="1"/>
  <c r="B19" i="18" s="1"/>
  <c r="D597" i="4" l="1"/>
  <c r="D540" i="4"/>
  <c r="D482" i="4"/>
  <c r="D206" i="4"/>
  <c r="G11" i="10" l="1"/>
  <c r="E651" i="4" l="1"/>
  <c r="E600" i="4"/>
  <c r="V87" i="24" l="1"/>
  <c r="G87" i="24"/>
  <c r="E543" i="4"/>
  <c r="E485" i="4" l="1"/>
  <c r="E432" i="4"/>
  <c r="E474" i="4"/>
  <c r="E481" i="4"/>
  <c r="E322" i="4" l="1"/>
  <c r="E267" i="4"/>
  <c r="E209" i="4"/>
  <c r="E3" i="4"/>
  <c r="E50" i="4"/>
  <c r="E153" i="4"/>
  <c r="E101" i="4"/>
  <c r="E40" i="4"/>
  <c r="H14" i="2" l="1"/>
  <c r="B26" i="12" l="1"/>
  <c r="C26" i="12"/>
  <c r="D26" i="12"/>
  <c r="E26" i="12"/>
  <c r="F26" i="12"/>
  <c r="G26" i="12"/>
  <c r="H26" i="12"/>
  <c r="I26" i="12"/>
  <c r="J26" i="12"/>
  <c r="L26" i="12"/>
  <c r="M26" i="12"/>
  <c r="L11" i="26"/>
  <c r="M11" i="26"/>
  <c r="K11" i="26"/>
  <c r="I11" i="26"/>
  <c r="J11" i="26"/>
  <c r="H11" i="26"/>
  <c r="F11" i="26"/>
  <c r="G11" i="26"/>
  <c r="E11" i="26"/>
  <c r="C11" i="26"/>
  <c r="D11" i="26"/>
  <c r="B11" i="26"/>
  <c r="U90" i="24"/>
  <c r="T90" i="24"/>
  <c r="S90" i="24"/>
  <c r="P90" i="24"/>
  <c r="O90" i="24"/>
  <c r="N90" i="24"/>
  <c r="K90" i="24"/>
  <c r="J90" i="24"/>
  <c r="I90" i="24"/>
  <c r="F90" i="24"/>
  <c r="E90" i="24"/>
  <c r="D90" i="24"/>
  <c r="X89" i="24"/>
  <c r="Y89" i="24" s="1"/>
  <c r="V89" i="24"/>
  <c r="W89" i="24" s="1"/>
  <c r="Q89" i="24"/>
  <c r="R89" i="24" s="1"/>
  <c r="L89" i="24"/>
  <c r="M89" i="24" s="1"/>
  <c r="G89" i="24"/>
  <c r="H89" i="24" s="1"/>
  <c r="Y88" i="24"/>
  <c r="V88" i="24"/>
  <c r="W88" i="24" s="1"/>
  <c r="Q88" i="24"/>
  <c r="R88" i="24" s="1"/>
  <c r="L88" i="24"/>
  <c r="M88" i="24" s="1"/>
  <c r="G88" i="24"/>
  <c r="H88" i="24" s="1"/>
  <c r="Y87" i="24"/>
  <c r="W87" i="24"/>
  <c r="Q87" i="24"/>
  <c r="R87" i="24" s="1"/>
  <c r="L87" i="24"/>
  <c r="M87" i="24" s="1"/>
  <c r="H87" i="24"/>
  <c r="X86" i="24"/>
  <c r="Y86" i="24" s="1"/>
  <c r="V86" i="24"/>
  <c r="W86" i="24" s="1"/>
  <c r="Q86" i="24"/>
  <c r="R86" i="24" s="1"/>
  <c r="L86" i="24"/>
  <c r="M86" i="24" s="1"/>
  <c r="G86" i="24"/>
  <c r="H86" i="24" s="1"/>
  <c r="Y85" i="24"/>
  <c r="V85" i="24"/>
  <c r="W85" i="24" s="1"/>
  <c r="Q85" i="24"/>
  <c r="R85" i="24" s="1"/>
  <c r="L85" i="24"/>
  <c r="M85" i="24" s="1"/>
  <c r="H85" i="24"/>
  <c r="X84" i="24"/>
  <c r="Y84" i="24" s="1"/>
  <c r="V84" i="24"/>
  <c r="W84" i="24" s="1"/>
  <c r="Q84" i="24"/>
  <c r="R84" i="24" s="1"/>
  <c r="L84" i="24"/>
  <c r="M84" i="24" s="1"/>
  <c r="G84" i="24"/>
  <c r="H84" i="24" s="1"/>
  <c r="X83" i="24"/>
  <c r="Y83" i="24" s="1"/>
  <c r="V83" i="24"/>
  <c r="W83" i="24" s="1"/>
  <c r="Q83" i="24"/>
  <c r="R83" i="24" s="1"/>
  <c r="L83" i="24"/>
  <c r="M83" i="24" s="1"/>
  <c r="G83" i="24"/>
  <c r="H83" i="24" s="1"/>
  <c r="X82" i="24"/>
  <c r="Y82" i="24" s="1"/>
  <c r="O11" i="26" s="1"/>
  <c r="V82" i="24"/>
  <c r="W82" i="24" s="1"/>
  <c r="Q82" i="24"/>
  <c r="R82" i="24" s="1"/>
  <c r="L82" i="24"/>
  <c r="M82" i="24" s="1"/>
  <c r="G82" i="24"/>
  <c r="H82" i="24" s="1"/>
  <c r="B82" i="24"/>
  <c r="Y81" i="24"/>
  <c r="R81" i="24"/>
  <c r="Y79" i="24"/>
  <c r="V79" i="24"/>
  <c r="W79" i="24" s="1"/>
  <c r="Q79" i="24"/>
  <c r="R79" i="24" s="1"/>
  <c r="L79" i="24"/>
  <c r="M79" i="24" s="1"/>
  <c r="G79" i="24"/>
  <c r="H79" i="24" s="1"/>
  <c r="X78" i="24"/>
  <c r="Y78" i="24" s="1"/>
  <c r="V78" i="24"/>
  <c r="W78" i="24" s="1"/>
  <c r="Q78" i="24"/>
  <c r="R78" i="24" s="1"/>
  <c r="L78" i="24"/>
  <c r="M78" i="24" s="1"/>
  <c r="G78" i="24"/>
  <c r="H78" i="24" s="1"/>
  <c r="U77" i="24"/>
  <c r="U80" i="24" s="1"/>
  <c r="T77" i="24"/>
  <c r="S77" i="24"/>
  <c r="S80" i="24" s="1"/>
  <c r="P77" i="24"/>
  <c r="P80" i="24" s="1"/>
  <c r="O77" i="24"/>
  <c r="N77" i="24"/>
  <c r="N80" i="24" s="1"/>
  <c r="K77" i="24"/>
  <c r="K80" i="24" s="1"/>
  <c r="J77" i="24"/>
  <c r="J80" i="24" s="1"/>
  <c r="I77" i="24"/>
  <c r="I80" i="24" s="1"/>
  <c r="F77" i="24"/>
  <c r="F80" i="24" s="1"/>
  <c r="F91" i="24" s="1"/>
  <c r="E77" i="24"/>
  <c r="E80" i="24" s="1"/>
  <c r="D77" i="24"/>
  <c r="D80" i="24" s="1"/>
  <c r="C77" i="24"/>
  <c r="B77" i="24"/>
  <c r="X76" i="24"/>
  <c r="Y76" i="24" s="1"/>
  <c r="V76" i="24"/>
  <c r="W76" i="24" s="1"/>
  <c r="Q76" i="24"/>
  <c r="R76" i="24" s="1"/>
  <c r="L76" i="24"/>
  <c r="M76" i="24" s="1"/>
  <c r="G76" i="24"/>
  <c r="H76" i="24" s="1"/>
  <c r="X75" i="24"/>
  <c r="Y75" i="24" s="1"/>
  <c r="V75" i="24"/>
  <c r="W75" i="24" s="1"/>
  <c r="Q75" i="24"/>
  <c r="R75" i="24" s="1"/>
  <c r="L75" i="24"/>
  <c r="M75" i="24" s="1"/>
  <c r="G75" i="24"/>
  <c r="H75" i="24" s="1"/>
  <c r="X74" i="24"/>
  <c r="Y74" i="24" s="1"/>
  <c r="V74" i="24"/>
  <c r="W74" i="24" s="1"/>
  <c r="Q74" i="24"/>
  <c r="R74" i="24" s="1"/>
  <c r="L74" i="24"/>
  <c r="M74" i="24" s="1"/>
  <c r="G74" i="24"/>
  <c r="H74" i="24" s="1"/>
  <c r="X73" i="24"/>
  <c r="Y73" i="24" s="1"/>
  <c r="V73" i="24"/>
  <c r="W73" i="24" s="1"/>
  <c r="Q73" i="24"/>
  <c r="R73" i="24" s="1"/>
  <c r="L73" i="24"/>
  <c r="M73" i="24" s="1"/>
  <c r="G73" i="24"/>
  <c r="H73" i="24" s="1"/>
  <c r="X72" i="24"/>
  <c r="Y72" i="24" s="1"/>
  <c r="V72" i="24"/>
  <c r="W72" i="24" s="1"/>
  <c r="Q72" i="24"/>
  <c r="R72" i="24" s="1"/>
  <c r="L72" i="24"/>
  <c r="M72" i="24" s="1"/>
  <c r="G72" i="24"/>
  <c r="H72" i="24" s="1"/>
  <c r="X71" i="24"/>
  <c r="Y71" i="24" s="1"/>
  <c r="V71" i="24"/>
  <c r="W71" i="24" s="1"/>
  <c r="Q71" i="24"/>
  <c r="R71" i="24" s="1"/>
  <c r="L71" i="24"/>
  <c r="M71" i="24" s="1"/>
  <c r="G71" i="24"/>
  <c r="H71" i="24" s="1"/>
  <c r="X70" i="24"/>
  <c r="Y70" i="24" s="1"/>
  <c r="V70" i="24"/>
  <c r="W70" i="24" s="1"/>
  <c r="Q70" i="24"/>
  <c r="R70" i="24" s="1"/>
  <c r="L70" i="24"/>
  <c r="M70" i="24" s="1"/>
  <c r="G70" i="24"/>
  <c r="H70" i="24" s="1"/>
  <c r="X69" i="24"/>
  <c r="Y69" i="24" s="1"/>
  <c r="V69" i="24"/>
  <c r="W69" i="24" s="1"/>
  <c r="Q69" i="24"/>
  <c r="R69" i="24" s="1"/>
  <c r="L69" i="24"/>
  <c r="M69" i="24" s="1"/>
  <c r="G69" i="24"/>
  <c r="H69" i="24" s="1"/>
  <c r="X68" i="24"/>
  <c r="Y68" i="24" s="1"/>
  <c r="V68" i="24"/>
  <c r="W68" i="24" s="1"/>
  <c r="Q68" i="24"/>
  <c r="R68" i="24" s="1"/>
  <c r="L68" i="24"/>
  <c r="M68" i="24" s="1"/>
  <c r="G68" i="24"/>
  <c r="H68" i="24" s="1"/>
  <c r="X67" i="24"/>
  <c r="Y67" i="24" s="1"/>
  <c r="V67" i="24"/>
  <c r="W67" i="24" s="1"/>
  <c r="Q67" i="24"/>
  <c r="R67" i="24" s="1"/>
  <c r="L67" i="24"/>
  <c r="M67" i="24" s="1"/>
  <c r="G67" i="24"/>
  <c r="H67" i="24" s="1"/>
  <c r="X66" i="24"/>
  <c r="Y66" i="24" s="1"/>
  <c r="V66" i="24"/>
  <c r="W66" i="24" s="1"/>
  <c r="Q66" i="24"/>
  <c r="R66" i="24" s="1"/>
  <c r="L66" i="24"/>
  <c r="M66" i="24" s="1"/>
  <c r="G66" i="24"/>
  <c r="H66" i="24" s="1"/>
  <c r="U91" i="24" l="1"/>
  <c r="N23" i="12"/>
  <c r="O23" i="12" s="1"/>
  <c r="O80" i="24"/>
  <c r="Q80" i="24" s="1"/>
  <c r="R80" i="24" s="1"/>
  <c r="N12" i="12"/>
  <c r="O12" i="12" s="1"/>
  <c r="N26" i="12"/>
  <c r="L90" i="24"/>
  <c r="M90" i="24" s="1"/>
  <c r="N27" i="12"/>
  <c r="O27" i="12" s="1"/>
  <c r="V90" i="24"/>
  <c r="W90" i="24" s="1"/>
  <c r="N91" i="24"/>
  <c r="J91" i="24"/>
  <c r="I91" i="24"/>
  <c r="G90" i="24"/>
  <c r="H90" i="24" s="1"/>
  <c r="E91" i="24"/>
  <c r="N28" i="12"/>
  <c r="N11" i="26"/>
  <c r="V77" i="24"/>
  <c r="W77" i="24" s="1"/>
  <c r="L80" i="24"/>
  <c r="M80" i="24" s="1"/>
  <c r="Q90" i="24"/>
  <c r="R90" i="24" s="1"/>
  <c r="L77" i="24"/>
  <c r="M77" i="24" s="1"/>
  <c r="Q77" i="24"/>
  <c r="R77" i="24" s="1"/>
  <c r="P91" i="24"/>
  <c r="S91" i="24"/>
  <c r="D91" i="24"/>
  <c r="G80" i="24"/>
  <c r="K91" i="24"/>
  <c r="G77" i="24"/>
  <c r="H77" i="24" s="1"/>
  <c r="X90" i="24"/>
  <c r="Y90" i="24" s="1"/>
  <c r="X77" i="24"/>
  <c r="Y77" i="24" s="1"/>
  <c r="T80" i="24"/>
  <c r="T91" i="24" s="1"/>
  <c r="M91" i="24" l="1"/>
  <c r="O91" i="24"/>
  <c r="Q91" i="24"/>
  <c r="R91" i="24" s="1"/>
  <c r="L91" i="24"/>
  <c r="V80" i="24"/>
  <c r="W80" i="24" s="1"/>
  <c r="W91" i="24" s="1"/>
  <c r="V91" i="24"/>
  <c r="G91" i="24"/>
  <c r="H80" i="24"/>
  <c r="H91" i="24" s="1"/>
  <c r="X80" i="24"/>
  <c r="X91" i="24" l="1"/>
  <c r="Y91" i="24" s="1"/>
  <c r="Y80" i="24"/>
  <c r="X118" i="24" l="1"/>
  <c r="Y118" i="24" s="1"/>
  <c r="X116" i="24"/>
  <c r="L15" i="26" l="1"/>
  <c r="I15" i="26"/>
  <c r="H15" i="26"/>
  <c r="F15" i="26"/>
  <c r="G15" i="26"/>
  <c r="E15" i="26"/>
  <c r="C15" i="26"/>
  <c r="D15" i="26"/>
  <c r="B15" i="26"/>
  <c r="D34" i="8" l="1"/>
  <c r="F33" i="11" s="1"/>
  <c r="F33" i="8"/>
  <c r="C11" i="27" l="1"/>
  <c r="D6" i="8"/>
  <c r="D3" i="8"/>
  <c r="F4" i="11" l="1"/>
  <c r="D11" i="27"/>
  <c r="D15" i="27" s="1"/>
  <c r="D16" i="27" s="1"/>
  <c r="E138" i="21"/>
  <c r="E76" i="21"/>
  <c r="E87" i="21"/>
  <c r="D52" i="4"/>
  <c r="E11" i="16" l="1"/>
  <c r="C3" i="5"/>
  <c r="I4" i="11" s="1"/>
  <c r="E51" i="4"/>
  <c r="E17" i="12" l="1"/>
  <c r="E18" i="12" s="1"/>
  <c r="F17" i="12"/>
  <c r="G17" i="12"/>
  <c r="K17" i="12"/>
  <c r="L17" i="12"/>
  <c r="M17" i="12"/>
  <c r="H17" i="12"/>
  <c r="I17" i="12"/>
  <c r="J17" i="12"/>
  <c r="B17" i="12"/>
  <c r="C17" i="12"/>
  <c r="D17" i="12"/>
  <c r="N4" i="12" l="1"/>
  <c r="O4" i="12" s="1"/>
  <c r="T121" i="24" l="1"/>
  <c r="O121" i="24"/>
  <c r="N121" i="24"/>
  <c r="K121" i="24"/>
  <c r="J121" i="24"/>
  <c r="I121" i="24"/>
  <c r="F121" i="24"/>
  <c r="E121" i="24"/>
  <c r="D121" i="24"/>
  <c r="X120" i="24"/>
  <c r="Y120" i="24" s="1"/>
  <c r="V120" i="24"/>
  <c r="W120" i="24" s="1"/>
  <c r="Q120" i="24"/>
  <c r="R120" i="24" s="1"/>
  <c r="L120" i="24"/>
  <c r="M120" i="24" s="1"/>
  <c r="G120" i="24"/>
  <c r="H120" i="24" s="1"/>
  <c r="Y119" i="24"/>
  <c r="V119" i="24"/>
  <c r="W119" i="24" s="1"/>
  <c r="Q119" i="24"/>
  <c r="R119" i="24" s="1"/>
  <c r="L119" i="24"/>
  <c r="M119" i="24" s="1"/>
  <c r="G119" i="24"/>
  <c r="H119" i="24" s="1"/>
  <c r="V118" i="24"/>
  <c r="W118" i="24" s="1"/>
  <c r="Q118" i="24"/>
  <c r="R118" i="24" s="1"/>
  <c r="L118" i="24"/>
  <c r="M118" i="24" s="1"/>
  <c r="G118" i="24"/>
  <c r="H118" i="24" s="1"/>
  <c r="X117" i="24"/>
  <c r="Y117" i="24" s="1"/>
  <c r="V117" i="24"/>
  <c r="W117" i="24" s="1"/>
  <c r="Q117" i="24"/>
  <c r="R117" i="24" s="1"/>
  <c r="L117" i="24"/>
  <c r="M117" i="24" s="1"/>
  <c r="G117" i="24"/>
  <c r="H117" i="24" s="1"/>
  <c r="Y116" i="24"/>
  <c r="V116" i="24"/>
  <c r="W116" i="24" s="1"/>
  <c r="Q116" i="24"/>
  <c r="R116" i="24" s="1"/>
  <c r="L116" i="24"/>
  <c r="M116" i="24" s="1"/>
  <c r="H116" i="24"/>
  <c r="U115" i="24"/>
  <c r="S115" i="24"/>
  <c r="P115" i="24"/>
  <c r="L115" i="24"/>
  <c r="M115" i="24" s="1"/>
  <c r="G115" i="24"/>
  <c r="H115" i="24" s="1"/>
  <c r="X114" i="24"/>
  <c r="Y114" i="24" s="1"/>
  <c r="V114" i="24"/>
  <c r="W114" i="24" s="1"/>
  <c r="Q114" i="24"/>
  <c r="R114" i="24" s="1"/>
  <c r="L114" i="24"/>
  <c r="M114" i="24" s="1"/>
  <c r="G114" i="24"/>
  <c r="H114" i="24" s="1"/>
  <c r="U113" i="24"/>
  <c r="S113" i="24"/>
  <c r="P113" i="24"/>
  <c r="L113" i="24"/>
  <c r="M113" i="24" s="1"/>
  <c r="G113" i="24"/>
  <c r="H113" i="24" s="1"/>
  <c r="B113" i="24"/>
  <c r="Y112" i="24"/>
  <c r="R112" i="24"/>
  <c r="Y110" i="24"/>
  <c r="V110" i="24"/>
  <c r="W110" i="24" s="1"/>
  <c r="Q110" i="24"/>
  <c r="R110" i="24" s="1"/>
  <c r="L110" i="24"/>
  <c r="M110" i="24" s="1"/>
  <c r="G110" i="24"/>
  <c r="H110" i="24" s="1"/>
  <c r="X109" i="24"/>
  <c r="Y109" i="24" s="1"/>
  <c r="V109" i="24"/>
  <c r="W109" i="24" s="1"/>
  <c r="Q109" i="24"/>
  <c r="R109" i="24" s="1"/>
  <c r="L109" i="24"/>
  <c r="M109" i="24" s="1"/>
  <c r="G109" i="24"/>
  <c r="H109" i="24" s="1"/>
  <c r="U108" i="24"/>
  <c r="U111" i="24" s="1"/>
  <c r="T108" i="24"/>
  <c r="T111" i="24" s="1"/>
  <c r="S108" i="24"/>
  <c r="P108" i="24"/>
  <c r="O108" i="24"/>
  <c r="N108" i="24"/>
  <c r="K108" i="24"/>
  <c r="J108" i="24"/>
  <c r="I108" i="24"/>
  <c r="F108" i="24"/>
  <c r="E108" i="24"/>
  <c r="D108" i="24"/>
  <c r="C108" i="24"/>
  <c r="B108" i="24"/>
  <c r="X107" i="24"/>
  <c r="Y107" i="24" s="1"/>
  <c r="V107" i="24"/>
  <c r="W107" i="24" s="1"/>
  <c r="Q107" i="24"/>
  <c r="R107" i="24" s="1"/>
  <c r="L107" i="24"/>
  <c r="M107" i="24" s="1"/>
  <c r="G107" i="24"/>
  <c r="H107" i="24" s="1"/>
  <c r="X106" i="24"/>
  <c r="Y106" i="24" s="1"/>
  <c r="V106" i="24"/>
  <c r="W106" i="24" s="1"/>
  <c r="Q106" i="24"/>
  <c r="R106" i="24" s="1"/>
  <c r="L106" i="24"/>
  <c r="M106" i="24" s="1"/>
  <c r="G106" i="24"/>
  <c r="H106" i="24" s="1"/>
  <c r="X105" i="24"/>
  <c r="Y105" i="24" s="1"/>
  <c r="V105" i="24"/>
  <c r="W105" i="24" s="1"/>
  <c r="Q105" i="24"/>
  <c r="R105" i="24" s="1"/>
  <c r="L105" i="24"/>
  <c r="M105" i="24" s="1"/>
  <c r="G105" i="24"/>
  <c r="H105" i="24" s="1"/>
  <c r="C105" i="24"/>
  <c r="B105" i="24"/>
  <c r="X104" i="24"/>
  <c r="Y104" i="24" s="1"/>
  <c r="V104" i="24"/>
  <c r="W104" i="24" s="1"/>
  <c r="Q104" i="24"/>
  <c r="R104" i="24" s="1"/>
  <c r="L104" i="24"/>
  <c r="M104" i="24" s="1"/>
  <c r="G104" i="24"/>
  <c r="H104" i="24" s="1"/>
  <c r="X103" i="24"/>
  <c r="Y103" i="24" s="1"/>
  <c r="V103" i="24"/>
  <c r="W103" i="24" s="1"/>
  <c r="Q103" i="24"/>
  <c r="R103" i="24" s="1"/>
  <c r="L103" i="24"/>
  <c r="M103" i="24" s="1"/>
  <c r="G103" i="24"/>
  <c r="H103" i="24" s="1"/>
  <c r="X102" i="24"/>
  <c r="Y102" i="24" s="1"/>
  <c r="V102" i="24"/>
  <c r="W102" i="24" s="1"/>
  <c r="Q102" i="24"/>
  <c r="R102" i="24" s="1"/>
  <c r="L102" i="24"/>
  <c r="M102" i="24" s="1"/>
  <c r="G102" i="24"/>
  <c r="H102" i="24" s="1"/>
  <c r="X101" i="24"/>
  <c r="Y101" i="24" s="1"/>
  <c r="V101" i="24"/>
  <c r="W101" i="24" s="1"/>
  <c r="Q101" i="24"/>
  <c r="R101" i="24" s="1"/>
  <c r="L101" i="24"/>
  <c r="M101" i="24" s="1"/>
  <c r="G101" i="24"/>
  <c r="H101" i="24" s="1"/>
  <c r="X100" i="24"/>
  <c r="Y100" i="24" s="1"/>
  <c r="V100" i="24"/>
  <c r="W100" i="24" s="1"/>
  <c r="Q100" i="24"/>
  <c r="R100" i="24" s="1"/>
  <c r="L100" i="24"/>
  <c r="M100" i="24" s="1"/>
  <c r="G100" i="24"/>
  <c r="H100" i="24" s="1"/>
  <c r="X99" i="24"/>
  <c r="Y99" i="24" s="1"/>
  <c r="V99" i="24"/>
  <c r="W99" i="24" s="1"/>
  <c r="Q99" i="24"/>
  <c r="R99" i="24" s="1"/>
  <c r="L99" i="24"/>
  <c r="M99" i="24" s="1"/>
  <c r="G99" i="24"/>
  <c r="H99" i="24" s="1"/>
  <c r="X98" i="24"/>
  <c r="Y98" i="24" s="1"/>
  <c r="V98" i="24"/>
  <c r="W98" i="24" s="1"/>
  <c r="Q98" i="24"/>
  <c r="R98" i="24" s="1"/>
  <c r="L98" i="24"/>
  <c r="M98" i="24" s="1"/>
  <c r="G98" i="24"/>
  <c r="H98" i="24" s="1"/>
  <c r="X97" i="24"/>
  <c r="Y97" i="24" s="1"/>
  <c r="V97" i="24"/>
  <c r="W97" i="24" s="1"/>
  <c r="Q97" i="24"/>
  <c r="R97" i="24" s="1"/>
  <c r="L97" i="24"/>
  <c r="M97" i="24" s="1"/>
  <c r="G97" i="24"/>
  <c r="H97" i="24" s="1"/>
  <c r="T122" i="24" l="1"/>
  <c r="O111" i="24"/>
  <c r="O122" i="24" s="1"/>
  <c r="L108" i="24"/>
  <c r="M108" i="24" s="1"/>
  <c r="K111" i="24"/>
  <c r="K122" i="24" s="1"/>
  <c r="M15" i="26"/>
  <c r="P111" i="24"/>
  <c r="E111" i="24"/>
  <c r="E122" i="24" s="1"/>
  <c r="S111" i="24"/>
  <c r="V111" i="24" s="1"/>
  <c r="W111" i="24" s="1"/>
  <c r="V108" i="24"/>
  <c r="W108" i="24" s="1"/>
  <c r="Q115" i="24"/>
  <c r="R115" i="24" s="1"/>
  <c r="X115" i="24"/>
  <c r="Y115" i="24" s="1"/>
  <c r="V115" i="24"/>
  <c r="W115" i="24" s="1"/>
  <c r="I111" i="24"/>
  <c r="I122" i="24" s="1"/>
  <c r="X113" i="24"/>
  <c r="Y113" i="24" s="1"/>
  <c r="O15" i="26" s="1"/>
  <c r="J15" i="26"/>
  <c r="D111" i="24"/>
  <c r="V113" i="24"/>
  <c r="W113" i="24" s="1"/>
  <c r="K15" i="26"/>
  <c r="U121" i="24"/>
  <c r="U122" i="24" s="1"/>
  <c r="G108" i="24"/>
  <c r="H108" i="24" s="1"/>
  <c r="G121" i="24"/>
  <c r="H121" i="24" s="1"/>
  <c r="Q108" i="24"/>
  <c r="R108" i="24" s="1"/>
  <c r="L121" i="24"/>
  <c r="M121" i="24" s="1"/>
  <c r="F111" i="24"/>
  <c r="F122" i="24" s="1"/>
  <c r="P121" i="24"/>
  <c r="N111" i="24"/>
  <c r="Q113" i="24"/>
  <c r="R113" i="24" s="1"/>
  <c r="X108" i="24"/>
  <c r="Y108" i="24" s="1"/>
  <c r="S121" i="24"/>
  <c r="J111" i="24"/>
  <c r="J122" i="24" s="1"/>
  <c r="G111" i="24" l="1"/>
  <c r="D122" i="24"/>
  <c r="V121" i="24"/>
  <c r="W121" i="24" s="1"/>
  <c r="W122" i="24" s="1"/>
  <c r="N15" i="26"/>
  <c r="L122" i="24"/>
  <c r="X121" i="24"/>
  <c r="Y121" i="24" s="1"/>
  <c r="X111" i="24"/>
  <c r="Y111" i="24" s="1"/>
  <c r="Q111" i="24"/>
  <c r="R111" i="24" s="1"/>
  <c r="N122" i="24"/>
  <c r="G122" i="24"/>
  <c r="H111" i="24"/>
  <c r="H122" i="24" s="1"/>
  <c r="S122" i="24"/>
  <c r="V122" i="24" s="1"/>
  <c r="P122" i="24"/>
  <c r="Q121" i="24"/>
  <c r="R121" i="24" s="1"/>
  <c r="L111" i="24"/>
  <c r="M111" i="24" s="1"/>
  <c r="M122" i="24" s="1"/>
  <c r="X122" i="24" l="1"/>
  <c r="Y122" i="24" s="1"/>
  <c r="Q122" i="24"/>
  <c r="R122" i="24" s="1"/>
  <c r="F59" i="11" l="1"/>
  <c r="E16" i="16" s="1"/>
  <c r="D30" i="8" l="1"/>
  <c r="F11" i="11" s="1"/>
  <c r="E7" i="16" l="1"/>
  <c r="D10" i="8"/>
  <c r="F17" i="11" s="1"/>
  <c r="D9" i="8"/>
  <c r="F15" i="11" s="1"/>
  <c r="F6" i="8"/>
  <c r="B33" i="6"/>
  <c r="G35" i="10"/>
  <c r="G10" i="10"/>
  <c r="D67" i="10"/>
  <c r="G59" i="10"/>
  <c r="G60" i="10"/>
  <c r="F10" i="8" l="1"/>
  <c r="E18" i="16"/>
  <c r="E118" i="21"/>
  <c r="E124" i="21"/>
  <c r="E99" i="21"/>
  <c r="E105" i="21"/>
  <c r="E58" i="21"/>
  <c r="E65" i="21"/>
  <c r="E45" i="21" l="1"/>
  <c r="E31" i="21" l="1"/>
  <c r="E30" i="21"/>
  <c r="E422" i="4"/>
  <c r="E46" i="21"/>
  <c r="E91" i="4" l="1"/>
  <c r="E705" i="4"/>
  <c r="E648" i="4"/>
  <c r="E597" i="4"/>
  <c r="E540" i="4"/>
  <c r="E482" i="4"/>
  <c r="E429" i="4"/>
  <c r="E374" i="4"/>
  <c r="E319" i="4"/>
  <c r="E264" i="4"/>
  <c r="E199" i="4"/>
  <c r="E206" i="4"/>
  <c r="E143" i="4"/>
  <c r="E150" i="4"/>
  <c r="E98" i="4"/>
  <c r="H51" i="4" l="1"/>
  <c r="H17" i="2" l="1"/>
  <c r="AU4" i="23" l="1"/>
  <c r="AU3" i="23"/>
  <c r="AU2" i="23"/>
  <c r="AT15" i="23"/>
  <c r="AS15" i="23"/>
  <c r="AU14" i="23"/>
  <c r="AU13" i="23"/>
  <c r="AU12" i="23"/>
  <c r="AU9" i="23"/>
  <c r="AU8" i="23"/>
  <c r="AU7" i="23"/>
  <c r="AU6" i="23"/>
  <c r="AU5" i="23"/>
  <c r="D29" i="6" l="1"/>
  <c r="G4" i="10" l="1"/>
  <c r="G5" i="10"/>
  <c r="E56" i="21" l="1"/>
  <c r="G20" i="1" l="1"/>
  <c r="O26" i="12" l="1"/>
  <c r="N24" i="12"/>
  <c r="O24" i="12" s="1"/>
  <c r="B46" i="18" l="1"/>
  <c r="B47" i="18" s="1"/>
  <c r="E225" i="1" l="1"/>
  <c r="G224" i="1"/>
  <c r="H224" i="1" s="1"/>
  <c r="D15" i="8" l="1"/>
  <c r="F23" i="11" s="1"/>
  <c r="D24" i="8"/>
  <c r="E210" i="4" l="1"/>
  <c r="H210" i="4" l="1"/>
  <c r="E268" i="4"/>
  <c r="E131" i="21" l="1"/>
  <c r="E652" i="4"/>
  <c r="E154" i="4" l="1"/>
  <c r="E47" i="4"/>
  <c r="E39" i="4"/>
  <c r="H52" i="4" l="1"/>
  <c r="G57" i="10"/>
  <c r="G61" i="10"/>
  <c r="G66" i="10"/>
  <c r="G64" i="10"/>
  <c r="G53" i="10"/>
  <c r="G63" i="10" l="1"/>
  <c r="G56" i="10"/>
  <c r="AR3" i="23" l="1"/>
  <c r="AR2" i="23"/>
  <c r="AR14" i="23"/>
  <c r="AR13" i="23"/>
  <c r="AR12" i="23"/>
  <c r="AR10" i="23"/>
  <c r="AR9" i="23"/>
  <c r="AR8" i="23"/>
  <c r="AR7" i="23"/>
  <c r="AR6" i="23"/>
  <c r="AR5" i="23"/>
  <c r="AR4" i="23"/>
  <c r="F56" i="11" l="1"/>
  <c r="E115" i="21"/>
  <c r="E125" i="21"/>
  <c r="E117" i="21"/>
  <c r="E116" i="21"/>
  <c r="E86" i="21"/>
  <c r="E85" i="21"/>
  <c r="E110" i="21"/>
  <c r="E98" i="21"/>
  <c r="E97" i="21"/>
  <c r="E75" i="21"/>
  <c r="E74" i="21"/>
  <c r="F126" i="21" l="1"/>
  <c r="H126" i="21" s="1"/>
  <c r="E601" i="4"/>
  <c r="E544" i="4"/>
  <c r="E486" i="4"/>
  <c r="E433" i="4"/>
  <c r="E378" i="4"/>
  <c r="D26" i="8"/>
  <c r="D24" i="3"/>
  <c r="F9" i="11" l="1"/>
  <c r="G9" i="10"/>
  <c r="G12" i="10"/>
  <c r="B18" i="12" l="1"/>
  <c r="AN15" i="23"/>
  <c r="AM15" i="23"/>
  <c r="AO14" i="23"/>
  <c r="AO13" i="23"/>
  <c r="AO12" i="23"/>
  <c r="AO11" i="23"/>
  <c r="AO10" i="23"/>
  <c r="AO9" i="23"/>
  <c r="AO8" i="23"/>
  <c r="AO7" i="23"/>
  <c r="AO6" i="23"/>
  <c r="AO5" i="23"/>
  <c r="AO4" i="23"/>
  <c r="AO3" i="23"/>
  <c r="AO2" i="23"/>
  <c r="C103" i="1" l="1"/>
  <c r="C52" i="1"/>
  <c r="C45" i="1"/>
  <c r="C40" i="1"/>
  <c r="C35" i="1"/>
  <c r="C34" i="1"/>
  <c r="C28" i="1"/>
  <c r="C29" i="1"/>
  <c r="C31" i="1"/>
  <c r="C32" i="1"/>
  <c r="C33" i="1"/>
  <c r="C46" i="1"/>
  <c r="C48" i="1"/>
  <c r="C49" i="1"/>
  <c r="C50" i="1"/>
  <c r="C63" i="1"/>
  <c r="C65" i="1"/>
  <c r="C66" i="1"/>
  <c r="C67" i="1"/>
  <c r="C80" i="1"/>
  <c r="C82" i="1"/>
  <c r="C83" i="1"/>
  <c r="C84" i="1"/>
  <c r="C97" i="1"/>
  <c r="C99" i="1"/>
  <c r="C100" i="1"/>
  <c r="C101" i="1"/>
  <c r="C114" i="1"/>
  <c r="C116" i="1"/>
  <c r="C117" i="1"/>
  <c r="C118" i="1"/>
  <c r="C131" i="1"/>
  <c r="C133" i="1"/>
  <c r="C134" i="1"/>
  <c r="C135" i="1"/>
  <c r="C148" i="1"/>
  <c r="C150" i="1"/>
  <c r="C151" i="1"/>
  <c r="C152" i="1"/>
  <c r="C165" i="1"/>
  <c r="C167" i="1"/>
  <c r="C168" i="1"/>
  <c r="C169" i="1"/>
  <c r="C182" i="1"/>
  <c r="C184" i="1"/>
  <c r="C185" i="1"/>
  <c r="C186" i="1"/>
  <c r="C199" i="1"/>
  <c r="C201" i="1"/>
  <c r="C202" i="1"/>
  <c r="C203" i="1"/>
  <c r="D31" i="8" l="1"/>
  <c r="D21" i="8"/>
  <c r="D18" i="8"/>
  <c r="F30" i="11" s="1"/>
  <c r="D13" i="8"/>
  <c r="D12" i="8"/>
  <c r="D11" i="8"/>
  <c r="F18" i="11" s="1"/>
  <c r="F12" i="8" l="1"/>
  <c r="F21" i="11"/>
  <c r="F63" i="11" s="1"/>
  <c r="F75" i="11" s="1"/>
  <c r="F13" i="8"/>
  <c r="F19" i="11"/>
  <c r="E20" i="16"/>
  <c r="F13" i="11"/>
  <c r="D35" i="8"/>
  <c r="E9" i="16"/>
  <c r="G3" i="10"/>
  <c r="F74" i="11" l="1"/>
  <c r="E6" i="16"/>
  <c r="E137" i="21"/>
  <c r="E130" i="21"/>
  <c r="E112" i="21"/>
  <c r="E93" i="21"/>
  <c r="F94" i="21" s="1"/>
  <c r="H94" i="21" s="1"/>
  <c r="E81" i="21"/>
  <c r="F82" i="21" s="1"/>
  <c r="E57" i="21"/>
  <c r="E38" i="21"/>
  <c r="E37" i="21"/>
  <c r="E36" i="21"/>
  <c r="E649" i="4"/>
  <c r="E641" i="4"/>
  <c r="E640" i="4"/>
  <c r="E473" i="4"/>
  <c r="E483" i="4"/>
  <c r="E366" i="4"/>
  <c r="E375" i="4"/>
  <c r="E367" i="4"/>
  <c r="E23" i="16" l="1"/>
  <c r="F53" i="21"/>
  <c r="H51" i="21" s="1"/>
  <c r="F76" i="11"/>
  <c r="F484" i="4"/>
  <c r="H484" i="4" s="1"/>
  <c r="F376" i="4"/>
  <c r="H376" i="4" s="1"/>
  <c r="F650" i="4"/>
  <c r="H650" i="4" s="1"/>
  <c r="E312" i="4"/>
  <c r="E99" i="4"/>
  <c r="H53" i="21" l="1"/>
  <c r="F28" i="11"/>
  <c r="E48" i="4" l="1"/>
  <c r="F49" i="4" s="1"/>
  <c r="H49" i="4" s="1"/>
  <c r="E706" i="4"/>
  <c r="E698" i="4"/>
  <c r="E697" i="4"/>
  <c r="F707" i="4" l="1"/>
  <c r="H707" i="4" s="1"/>
  <c r="E598" i="4"/>
  <c r="E590" i="4"/>
  <c r="E589" i="4"/>
  <c r="E541" i="4"/>
  <c r="E533" i="4"/>
  <c r="E532" i="4"/>
  <c r="E430" i="4"/>
  <c r="E421" i="4"/>
  <c r="F431" i="4" s="1"/>
  <c r="H431" i="4" s="1"/>
  <c r="F599" i="4" l="1"/>
  <c r="H599" i="4" s="1"/>
  <c r="F542" i="4"/>
  <c r="H542" i="4" s="1"/>
  <c r="E265" i="4"/>
  <c r="E257" i="4"/>
  <c r="E256" i="4"/>
  <c r="E207" i="4"/>
  <c r="E198" i="4"/>
  <c r="E151" i="4"/>
  <c r="E142" i="4"/>
  <c r="F208" i="4" l="1"/>
  <c r="H208" i="4" s="1"/>
  <c r="F152" i="4"/>
  <c r="H152" i="4" s="1"/>
  <c r="F266" i="4"/>
  <c r="H266" i="4" s="1"/>
  <c r="G31" i="10" l="1"/>
  <c r="G30" i="10"/>
  <c r="G6" i="10"/>
  <c r="G8" i="10"/>
  <c r="G32" i="10"/>
  <c r="G33" i="10"/>
  <c r="G34" i="10"/>
  <c r="G28" i="10"/>
  <c r="G27" i="10"/>
  <c r="G37" i="10"/>
  <c r="G65" i="10"/>
  <c r="G29" i="10"/>
  <c r="G58" i="10"/>
  <c r="G7" i="10"/>
  <c r="G13" i="10"/>
  <c r="G17" i="10"/>
  <c r="B7" i="6" s="1"/>
  <c r="G15" i="10"/>
  <c r="B5" i="6" s="1"/>
  <c r="G24" i="10"/>
  <c r="B16" i="6" s="1"/>
  <c r="G46" i="10"/>
  <c r="G47" i="10"/>
  <c r="G48" i="10"/>
  <c r="G49" i="10"/>
  <c r="G21" i="10"/>
  <c r="B12" i="6" s="1"/>
  <c r="G20" i="10"/>
  <c r="B11" i="6" s="1"/>
  <c r="G16" i="10"/>
  <c r="B6" i="6" s="1"/>
  <c r="G14" i="10"/>
  <c r="B4" i="6" s="1"/>
  <c r="G23" i="10"/>
  <c r="B15" i="6" s="1"/>
  <c r="G22" i="10"/>
  <c r="B14" i="6" s="1"/>
  <c r="G26" i="10"/>
  <c r="B8" i="6" s="1"/>
  <c r="G38" i="10"/>
  <c r="G39" i="10"/>
  <c r="G40" i="10"/>
  <c r="G41" i="10"/>
  <c r="G42" i="10"/>
  <c r="G43" i="10"/>
  <c r="G44" i="10"/>
  <c r="G19" i="10"/>
  <c r="B10" i="6" s="1"/>
  <c r="G18" i="10"/>
  <c r="B9" i="6" s="1"/>
  <c r="G50" i="10"/>
  <c r="G51" i="10"/>
  <c r="G52" i="10"/>
  <c r="G36" i="10"/>
  <c r="G25" i="10"/>
  <c r="B13" i="6" s="1"/>
  <c r="G45" i="10"/>
  <c r="G54" i="10"/>
  <c r="G55" i="10"/>
  <c r="B18" i="6" l="1"/>
  <c r="F26" i="8"/>
  <c r="F11" i="8"/>
  <c r="F15" i="8"/>
  <c r="C14" i="6"/>
  <c r="C13" i="6"/>
  <c r="C12" i="6"/>
  <c r="C11" i="6"/>
  <c r="C10" i="6"/>
  <c r="C9" i="6"/>
  <c r="C8" i="6"/>
  <c r="C5" i="6"/>
  <c r="C4" i="6"/>
  <c r="F70" i="10"/>
  <c r="F147" i="21"/>
  <c r="D70" i="10"/>
  <c r="E67" i="10"/>
  <c r="G62" i="10"/>
  <c r="G67" i="10" s="1"/>
  <c r="E140" i="21"/>
  <c r="F146" i="21" s="1"/>
  <c r="C220" i="1"/>
  <c r="C219" i="1"/>
  <c r="C218" i="1"/>
  <c r="C216" i="1"/>
  <c r="N7" i="12"/>
  <c r="O7" i="12" s="1"/>
  <c r="N9" i="12"/>
  <c r="O9" i="12" s="1"/>
  <c r="N17" i="12"/>
  <c r="O17" i="12" s="1"/>
  <c r="N16" i="12"/>
  <c r="O16" i="12" s="1"/>
  <c r="AJ15" i="23"/>
  <c r="F138" i="21"/>
  <c r="H138" i="21" s="1"/>
  <c r="E5" i="21"/>
  <c r="G37" i="1"/>
  <c r="G54" i="1"/>
  <c r="H54" i="1" s="1"/>
  <c r="G71" i="1"/>
  <c r="G88" i="1"/>
  <c r="G105" i="1"/>
  <c r="H105" i="1" s="1"/>
  <c r="G122" i="1"/>
  <c r="G139" i="1"/>
  <c r="H139" i="1" s="1"/>
  <c r="G156" i="1"/>
  <c r="H156" i="1" s="1"/>
  <c r="G173" i="1"/>
  <c r="G190" i="1"/>
  <c r="G207" i="1"/>
  <c r="C29" i="16"/>
  <c r="BH5" i="23" s="1"/>
  <c r="C30" i="16"/>
  <c r="BH6" i="23" s="1"/>
  <c r="C28" i="16"/>
  <c r="C32" i="16"/>
  <c r="C33" i="16"/>
  <c r="C34" i="16"/>
  <c r="C36" i="16"/>
  <c r="BH12" i="23" s="1"/>
  <c r="C37" i="16"/>
  <c r="C38" i="16"/>
  <c r="C35" i="16"/>
  <c r="F18" i="8"/>
  <c r="F21" i="8"/>
  <c r="F31" i="8"/>
  <c r="C17" i="2"/>
  <c r="D17" i="2"/>
  <c r="E66" i="21"/>
  <c r="F71" i="21" s="1"/>
  <c r="H71" i="21" s="1"/>
  <c r="E24" i="21"/>
  <c r="F33" i="21" s="1"/>
  <c r="H33" i="21" s="1"/>
  <c r="E11" i="21"/>
  <c r="E12" i="21"/>
  <c r="E16" i="21"/>
  <c r="E106" i="21"/>
  <c r="F107" i="21" s="1"/>
  <c r="E111" i="21"/>
  <c r="F113" i="21" s="1"/>
  <c r="C16" i="6"/>
  <c r="E311" i="4"/>
  <c r="E90" i="4"/>
  <c r="B17" i="2"/>
  <c r="H9" i="19" s="1"/>
  <c r="C15" i="6"/>
  <c r="C7" i="6"/>
  <c r="D25" i="6"/>
  <c r="D26" i="6"/>
  <c r="D27" i="6"/>
  <c r="D28" i="6"/>
  <c r="D30" i="6"/>
  <c r="D31" i="6"/>
  <c r="D32" i="6"/>
  <c r="D33" i="6"/>
  <c r="D34" i="6"/>
  <c r="D35" i="6"/>
  <c r="D36" i="6"/>
  <c r="D37" i="6"/>
  <c r="E320" i="4"/>
  <c r="F3" i="8"/>
  <c r="F4" i="8"/>
  <c r="F5" i="8"/>
  <c r="F7" i="8"/>
  <c r="F8" i="8"/>
  <c r="F9" i="8"/>
  <c r="F16" i="8"/>
  <c r="F17" i="8"/>
  <c r="F19" i="8"/>
  <c r="F22" i="8"/>
  <c r="F23" i="8"/>
  <c r="F25" i="8"/>
  <c r="F27" i="8"/>
  <c r="F28" i="8"/>
  <c r="F29" i="8"/>
  <c r="F30" i="8"/>
  <c r="F32" i="8"/>
  <c r="F34" i="8"/>
  <c r="E35" i="8"/>
  <c r="C39" i="6"/>
  <c r="B39" i="6"/>
  <c r="C24" i="3"/>
  <c r="AG15" i="23"/>
  <c r="I18" i="12"/>
  <c r="J18" i="12"/>
  <c r="N20" i="12"/>
  <c r="O20" i="12" s="1"/>
  <c r="G225" i="1" l="1"/>
  <c r="F100" i="4"/>
  <c r="H100" i="4" s="1"/>
  <c r="F29" i="11"/>
  <c r="F14" i="11"/>
  <c r="J29" i="12"/>
  <c r="D31" i="16"/>
  <c r="BI7" i="23" s="1"/>
  <c r="D38" i="16"/>
  <c r="BI14" i="23" s="1"/>
  <c r="D29" i="16"/>
  <c r="F32" i="11"/>
  <c r="F148" i="21"/>
  <c r="G226" i="1"/>
  <c r="H37" i="1"/>
  <c r="C8" i="16"/>
  <c r="D8" i="16" s="1"/>
  <c r="F8" i="16" s="1"/>
  <c r="H20" i="1"/>
  <c r="F16" i="11"/>
  <c r="F24" i="8"/>
  <c r="F35" i="8" s="1"/>
  <c r="D39" i="6"/>
  <c r="H15" i="19" s="1"/>
  <c r="I29" i="12"/>
  <c r="F31" i="11"/>
  <c r="C21" i="16" s="1"/>
  <c r="C26" i="16"/>
  <c r="BH2" i="23" s="1"/>
  <c r="H207" i="1"/>
  <c r="H122" i="1"/>
  <c r="H173" i="1"/>
  <c r="H190" i="1"/>
  <c r="H71" i="1"/>
  <c r="H88" i="1"/>
  <c r="H11" i="19"/>
  <c r="F17" i="21"/>
  <c r="C19" i="16"/>
  <c r="F321" i="4"/>
  <c r="H321" i="4" s="1"/>
  <c r="BH8" i="23"/>
  <c r="BH9" i="23"/>
  <c r="C6" i="6"/>
  <c r="C18" i="6" s="1"/>
  <c r="D18" i="12"/>
  <c r="D29" i="12" s="1"/>
  <c r="M18" i="12"/>
  <c r="B29" i="12"/>
  <c r="C18" i="12"/>
  <c r="L18" i="12"/>
  <c r="N14" i="12"/>
  <c r="O14" i="12" s="1"/>
  <c r="N13" i="12"/>
  <c r="O13" i="12" s="1"/>
  <c r="N11" i="12"/>
  <c r="O11" i="12" s="1"/>
  <c r="N10" i="12"/>
  <c r="O10" i="12" s="1"/>
  <c r="N8" i="12"/>
  <c r="O8" i="12" s="1"/>
  <c r="N6" i="12"/>
  <c r="O6" i="12" s="1"/>
  <c r="F18" i="12"/>
  <c r="N5" i="12"/>
  <c r="O5" i="12" s="1"/>
  <c r="N21" i="12"/>
  <c r="O21" i="12" s="1"/>
  <c r="D26" i="16"/>
  <c r="N22" i="12"/>
  <c r="O22" i="12" s="1"/>
  <c r="BH11" i="23"/>
  <c r="H18" i="12"/>
  <c r="H29" i="12" s="1"/>
  <c r="O28" i="12" l="1"/>
  <c r="H150" i="21"/>
  <c r="G227" i="1"/>
  <c r="F708" i="4"/>
  <c r="F712" i="4" s="1"/>
  <c r="BI5" i="23"/>
  <c r="BJ5" i="23" s="1"/>
  <c r="E29" i="16"/>
  <c r="D32" i="16"/>
  <c r="D36" i="16"/>
  <c r="D27" i="16"/>
  <c r="BI3" i="23" s="1"/>
  <c r="D28" i="16"/>
  <c r="BI4" i="23" s="1"/>
  <c r="D30" i="16"/>
  <c r="D33" i="16"/>
  <c r="G8" i="16"/>
  <c r="F34" i="16" s="1"/>
  <c r="D10" i="16"/>
  <c r="D41" i="6"/>
  <c r="F34" i="11" s="1"/>
  <c r="AH15" i="23"/>
  <c r="H14" i="19"/>
  <c r="H17" i="21"/>
  <c r="F27" i="11"/>
  <c r="C20" i="16"/>
  <c r="F25" i="11"/>
  <c r="C15" i="16" s="1"/>
  <c r="C31" i="16"/>
  <c r="BH7" i="23" s="1"/>
  <c r="BJ7" i="23" s="1"/>
  <c r="C27" i="16"/>
  <c r="C29" i="12"/>
  <c r="B39" i="18"/>
  <c r="B40" i="18" s="1"/>
  <c r="M29" i="12"/>
  <c r="BH10" i="23"/>
  <c r="BH13" i="23"/>
  <c r="D35" i="16"/>
  <c r="E29" i="12"/>
  <c r="L29" i="12"/>
  <c r="B11" i="18"/>
  <c r="B12" i="18" s="1"/>
  <c r="B32" i="18"/>
  <c r="B33" i="18" s="1"/>
  <c r="F29" i="12"/>
  <c r="BI2" i="23"/>
  <c r="BJ2" i="23" s="1"/>
  <c r="E26" i="16"/>
  <c r="N15" i="12"/>
  <c r="O15" i="12" s="1"/>
  <c r="G18" i="12"/>
  <c r="G29" i="12" s="1"/>
  <c r="AK15" i="23"/>
  <c r="K18" i="12"/>
  <c r="K29" i="12" s="1"/>
  <c r="C10" i="16" l="1"/>
  <c r="F10" i="16"/>
  <c r="G10" i="16" s="1"/>
  <c r="G34" i="16" s="1"/>
  <c r="G7" i="11"/>
  <c r="G42" i="11" s="1"/>
  <c r="H35" i="11" s="1"/>
  <c r="I35" i="11" s="1"/>
  <c r="J35" i="11" s="1"/>
  <c r="B44" i="18" s="1"/>
  <c r="F716" i="4"/>
  <c r="BI9" i="23"/>
  <c r="BJ9" i="23" s="1"/>
  <c r="E33" i="16"/>
  <c r="BI6" i="23"/>
  <c r="BJ6" i="23" s="1"/>
  <c r="E30" i="16"/>
  <c r="BI12" i="23"/>
  <c r="BJ12" i="23" s="1"/>
  <c r="E36" i="16"/>
  <c r="BI8" i="23"/>
  <c r="BJ8" i="23" s="1"/>
  <c r="E32" i="16"/>
  <c r="D37" i="16"/>
  <c r="E37" i="16" s="1"/>
  <c r="N18" i="12"/>
  <c r="C18" i="16"/>
  <c r="BI11" i="23"/>
  <c r="BJ11" i="23" s="1"/>
  <c r="E35" i="16"/>
  <c r="C17" i="16"/>
  <c r="E31" i="16"/>
  <c r="E38" i="16"/>
  <c r="BH14" i="23"/>
  <c r="BJ14" i="23" s="1"/>
  <c r="F45" i="11"/>
  <c r="N29" i="12"/>
  <c r="D34" i="16"/>
  <c r="E34" i="16" s="1"/>
  <c r="BH4" i="23"/>
  <c r="BJ4" i="23" s="1"/>
  <c r="E28" i="16"/>
  <c r="F35" i="16"/>
  <c r="H12" i="19"/>
  <c r="BH3" i="23"/>
  <c r="E27" i="16"/>
  <c r="C39" i="16"/>
  <c r="BH16" i="23" s="1"/>
  <c r="B45" i="18" l="1"/>
  <c r="B48" i="18" s="1"/>
  <c r="H6" i="11"/>
  <c r="D13" i="16"/>
  <c r="F13" i="16" s="1"/>
  <c r="G13" i="16" s="1"/>
  <c r="I34" i="16" s="1"/>
  <c r="H29" i="19"/>
  <c r="D29" i="19" s="1"/>
  <c r="O29" i="12"/>
  <c r="BI13" i="23"/>
  <c r="BJ13" i="23" s="1"/>
  <c r="G32" i="16"/>
  <c r="G39" i="16"/>
  <c r="G27" i="16"/>
  <c r="G35" i="16"/>
  <c r="G38" i="16"/>
  <c r="G29" i="16"/>
  <c r="G31" i="16"/>
  <c r="G30" i="16"/>
  <c r="G33" i="16"/>
  <c r="G37" i="16"/>
  <c r="G36" i="16"/>
  <c r="G26" i="16"/>
  <c r="G28" i="16"/>
  <c r="BI10" i="23"/>
  <c r="D39" i="16"/>
  <c r="BI16" i="23" s="1"/>
  <c r="B4" i="18"/>
  <c r="B5" i="18" s="1"/>
  <c r="C5" i="16"/>
  <c r="D4" i="16" s="1"/>
  <c r="F4" i="16" s="1"/>
  <c r="F29" i="16"/>
  <c r="F26" i="16"/>
  <c r="F36" i="16"/>
  <c r="F32" i="16"/>
  <c r="F28" i="16"/>
  <c r="F39" i="16"/>
  <c r="F31" i="16"/>
  <c r="F38" i="16"/>
  <c r="F33" i="16"/>
  <c r="F30" i="16"/>
  <c r="F37" i="16"/>
  <c r="F27" i="16"/>
  <c r="BH15" i="23"/>
  <c r="BJ3" i="23"/>
  <c r="G4" i="16" l="1"/>
  <c r="I31" i="16"/>
  <c r="I26" i="16"/>
  <c r="I29" i="16"/>
  <c r="I32" i="16"/>
  <c r="I36" i="16"/>
  <c r="I38" i="16"/>
  <c r="I30" i="16"/>
  <c r="I35" i="16"/>
  <c r="I28" i="16"/>
  <c r="I39" i="16"/>
  <c r="I33" i="16"/>
  <c r="I37" i="16"/>
  <c r="I27" i="16"/>
  <c r="BI15" i="23"/>
  <c r="I6" i="11" l="1"/>
  <c r="J7" i="11" s="1"/>
  <c r="H36" i="11"/>
  <c r="I36" i="11" s="1"/>
  <c r="H40" i="11"/>
  <c r="I40" i="11" s="1"/>
  <c r="H37" i="11"/>
  <c r="I37" i="11" s="1"/>
  <c r="J37" i="11" s="1"/>
  <c r="H41" i="11"/>
  <c r="I41" i="11" s="1"/>
  <c r="J41" i="11" s="1"/>
  <c r="B9" i="18" s="1"/>
  <c r="B10" i="18" s="1"/>
  <c r="H38" i="11"/>
  <c r="I38" i="11" s="1"/>
  <c r="J38" i="11" s="1"/>
  <c r="H39" i="11"/>
  <c r="I39" i="11" s="1"/>
  <c r="J39" i="11" s="1"/>
  <c r="B37" i="18" s="1"/>
  <c r="B38" i="18" s="1"/>
  <c r="I42" i="11" l="1"/>
  <c r="H42" i="11"/>
  <c r="J36" i="11"/>
  <c r="B13" i="18"/>
  <c r="B41" i="18"/>
  <c r="D3" i="5"/>
  <c r="E3" i="5" s="1"/>
  <c r="J40" i="11"/>
  <c r="B30" i="18" s="1"/>
  <c r="E39" i="16"/>
  <c r="B16" i="18"/>
  <c r="B17" i="18" s="1"/>
  <c r="C12" i="16"/>
  <c r="B31" i="18" l="1"/>
  <c r="B34" i="18" s="1"/>
  <c r="D11" i="16"/>
  <c r="F11" i="16" s="1"/>
  <c r="F23" i="16" s="1"/>
  <c r="J42" i="11"/>
  <c r="F70" i="11" s="1"/>
  <c r="B23" i="18"/>
  <c r="B24" i="18" s="1"/>
  <c r="B20" i="18"/>
  <c r="D23" i="16" l="1"/>
  <c r="B27" i="18"/>
  <c r="E4" i="5"/>
  <c r="H13" i="19"/>
  <c r="G11" i="16"/>
  <c r="H34" i="16" s="1"/>
  <c r="J34" i="16" s="1"/>
  <c r="B2" i="18"/>
  <c r="B3" i="18" s="1"/>
  <c r="H35" i="16" l="1"/>
  <c r="J35" i="16" s="1"/>
  <c r="H27" i="16"/>
  <c r="J27" i="16" s="1"/>
  <c r="H31" i="16"/>
  <c r="J31" i="16" s="1"/>
  <c r="H37" i="16"/>
  <c r="J37" i="16" s="1"/>
  <c r="H30" i="16"/>
  <c r="J30" i="16" s="1"/>
  <c r="H28" i="16"/>
  <c r="J28" i="16" s="1"/>
  <c r="H39" i="16"/>
  <c r="J39" i="16" s="1"/>
  <c r="H36" i="16"/>
  <c r="J36" i="16" s="1"/>
  <c r="H26" i="16"/>
  <c r="J26" i="16" s="1"/>
  <c r="H32" i="16"/>
  <c r="J32" i="16" s="1"/>
  <c r="H38" i="16"/>
  <c r="J38" i="16" s="1"/>
  <c r="H29" i="16"/>
  <c r="J29" i="16" s="1"/>
  <c r="H33" i="16"/>
  <c r="J33" i="16" s="1"/>
  <c r="G23" i="16"/>
  <c r="BJ15" i="23" l="1"/>
  <c r="B6" i="18"/>
  <c r="F32" i="19"/>
  <c r="F31" i="19"/>
</calcChain>
</file>

<file path=xl/sharedStrings.xml><?xml version="1.0" encoding="utf-8"?>
<sst xmlns="http://schemas.openxmlformats.org/spreadsheetml/2006/main" count="3449" uniqueCount="977">
  <si>
    <t xml:space="preserve"> </t>
  </si>
  <si>
    <t>Institution</t>
  </si>
  <si>
    <t>Benefit</t>
  </si>
  <si>
    <t>%Employer Contribution</t>
  </si>
  <si>
    <t>Annual Cost</t>
  </si>
  <si>
    <t>Sub-Total</t>
  </si>
  <si>
    <t>Grand Total</t>
  </si>
  <si>
    <t>Basic Life &amp; Travel</t>
  </si>
  <si>
    <t>Unemployment Insurance</t>
  </si>
  <si>
    <t>Group Health Insurance</t>
  </si>
  <si>
    <t>Workman's Compensation</t>
  </si>
  <si>
    <t>Terminal Leave Charge</t>
  </si>
  <si>
    <t>Annual Physical Reimbursement</t>
  </si>
  <si>
    <t>Comb Hiland Mt.CC</t>
  </si>
  <si>
    <t>Leave Cash-in/Payout</t>
  </si>
  <si>
    <t>Ketchikan CC</t>
  </si>
  <si>
    <t>Lemon Creek CC</t>
  </si>
  <si>
    <t>Mat-Su Pre-Trial</t>
  </si>
  <si>
    <t>Palmer CC</t>
  </si>
  <si>
    <t>Spring Creek CC</t>
  </si>
  <si>
    <t xml:space="preserve">Yukon Kuskokwim </t>
  </si>
  <si>
    <t>Grand  Total</t>
  </si>
  <si>
    <t>Facility</t>
  </si>
  <si>
    <t>Total Benefits</t>
  </si>
  <si>
    <t>Fairbanks CC</t>
  </si>
  <si>
    <t>Wildwood CC</t>
  </si>
  <si>
    <t>Total</t>
  </si>
  <si>
    <t>Number of Employees</t>
  </si>
  <si>
    <t>Anvil Mt. CC</t>
  </si>
  <si>
    <t>Yukon Kuskokwim</t>
  </si>
  <si>
    <t>Type of Service</t>
  </si>
  <si>
    <t>Description of Service</t>
  </si>
  <si>
    <t>Number of Contracts</t>
  </si>
  <si>
    <t>MEDICAL</t>
  </si>
  <si>
    <t xml:space="preserve">Non-employee contracted </t>
  </si>
  <si>
    <t>physicians/nurses/PAs/X-ray</t>
  </si>
  <si>
    <t>Non-employee fee for services</t>
  </si>
  <si>
    <t>DENTAL</t>
  </si>
  <si>
    <t>Non-employee contracted</t>
  </si>
  <si>
    <t>dentist/hygienist/assistant</t>
  </si>
  <si>
    <t>SOCIAL COUNSELING</t>
  </si>
  <si>
    <t>substance abuse,batterers &amp;</t>
  </si>
  <si>
    <t>sex offender treatment</t>
  </si>
  <si>
    <t>PSYCHOLOGICAL</t>
  </si>
  <si>
    <t>COUNSELING</t>
  </si>
  <si>
    <t>mental health,psychiatric &amp;</t>
  </si>
  <si>
    <t>psychological services</t>
  </si>
  <si>
    <t>TOTAL</t>
  </si>
  <si>
    <t>Description of Cost</t>
  </si>
  <si>
    <t>Travel</t>
  </si>
  <si>
    <t>Utilities</t>
  </si>
  <si>
    <t>Total Cost</t>
  </si>
  <si>
    <t>Institutions Director's Office</t>
  </si>
  <si>
    <t>Inmate Programs</t>
  </si>
  <si>
    <t>Transportation</t>
  </si>
  <si>
    <t>Institutions</t>
  </si>
  <si>
    <t>Cost of Equipment</t>
  </si>
  <si>
    <t>Equipment Allowance 6.666%</t>
  </si>
  <si>
    <t>Additional Construction   Cost</t>
  </si>
  <si>
    <t>Annual Depreciation @ 2%</t>
  </si>
  <si>
    <t>Totals</t>
  </si>
  <si>
    <t>Inmate Health Care</t>
  </si>
  <si>
    <t>Out of State</t>
  </si>
  <si>
    <t>Commissioner's Office</t>
  </si>
  <si>
    <t>Parole Board</t>
  </si>
  <si>
    <t>Correctional Academy</t>
  </si>
  <si>
    <t>Division/Institution</t>
  </si>
  <si>
    <t>Total Reimbursement</t>
  </si>
  <si>
    <t>Outstanding Balance of RSA</t>
  </si>
  <si>
    <t>Facility-Capital Improvement</t>
  </si>
  <si>
    <t>Institution Director's Office</t>
  </si>
  <si>
    <t>Anvil Mtn. CC</t>
  </si>
  <si>
    <t>Yukon Kuskokwim CC</t>
  </si>
  <si>
    <t>Out-of-State Contractual</t>
  </si>
  <si>
    <t>Daily Cost per Prisoner</t>
  </si>
  <si>
    <t xml:space="preserve">  </t>
  </si>
  <si>
    <t>Daily Cost Per Prisoner</t>
  </si>
  <si>
    <t>UUU</t>
  </si>
  <si>
    <t>19A</t>
  </si>
  <si>
    <t>Anchorage Probation</t>
  </si>
  <si>
    <t>Kodiak Probation</t>
  </si>
  <si>
    <t>Kenai Probation</t>
  </si>
  <si>
    <t>Dillingham Probation</t>
  </si>
  <si>
    <t>Juneau Probation</t>
  </si>
  <si>
    <t>Ketchikan Probation</t>
  </si>
  <si>
    <t>Sitka Probation</t>
  </si>
  <si>
    <t>Fairbanks Probation</t>
  </si>
  <si>
    <t>Bethel Probation</t>
  </si>
  <si>
    <t>Nome Probation</t>
  </si>
  <si>
    <t>Barrow Probation</t>
  </si>
  <si>
    <t>Kotzebue Probation</t>
  </si>
  <si>
    <t>INSTITUTIONS</t>
  </si>
  <si>
    <t>Equipment &amp; Bldg. Depreciation</t>
  </si>
  <si>
    <t>Mandays</t>
  </si>
  <si>
    <t>Inst. Cost</t>
  </si>
  <si>
    <t>Div.of Admin.&amp; Support Cost</t>
  </si>
  <si>
    <t>-</t>
  </si>
  <si>
    <t>BY INDIVIDUAL INSTITUTIONS</t>
  </si>
  <si>
    <t>TOTAL PERSONAL SERVICES</t>
  </si>
  <si>
    <t>Total Wages</t>
  </si>
  <si>
    <t>Other Personal Services</t>
  </si>
  <si>
    <t>Total Personal Services</t>
  </si>
  <si>
    <t>CONSULTANTS &amp; CONTRACT SERVICES</t>
  </si>
  <si>
    <t>Non-employee fee for service</t>
  </si>
  <si>
    <t>OTHER DIRECT JAIL OPERATING COSTS</t>
  </si>
  <si>
    <t>% of Time Spent in Support of Jail Operators</t>
  </si>
  <si>
    <t>Organization Providing Service</t>
  </si>
  <si>
    <t>Allowable Indirect Cost</t>
  </si>
  <si>
    <t>EQUIPMENT COST</t>
  </si>
  <si>
    <t>By Individual Institution</t>
  </si>
  <si>
    <t>BUILDING DEPRECIATION</t>
  </si>
  <si>
    <t>Total Building Depreciation</t>
  </si>
  <si>
    <t>Total Equipment Cost</t>
  </si>
  <si>
    <t>(Schedule F + Schedule G)</t>
  </si>
  <si>
    <t>Repair/Maintenance Supplies</t>
  </si>
  <si>
    <t>Other Services &amp; Charges</t>
  </si>
  <si>
    <t>COST ALLOCATION PLANS / INDIRECT COST PROPOSALS</t>
  </si>
  <si>
    <t>PROPERTY INVENTORY</t>
  </si>
  <si>
    <t>% OF TOTAL</t>
  </si>
  <si>
    <t>TOTAL ALL COSTS</t>
  </si>
  <si>
    <t>Anvil Mountain CC</t>
  </si>
  <si>
    <t>Mat-Su CC</t>
  </si>
  <si>
    <t>Yukon-Kuskokwim CC</t>
  </si>
  <si>
    <t>Tents</t>
  </si>
  <si>
    <t>CRC's</t>
  </si>
  <si>
    <t>CRC Offender Supervision</t>
  </si>
  <si>
    <t>Electronic Monitoring</t>
  </si>
  <si>
    <t>Treatment Beds</t>
  </si>
  <si>
    <t>Other Out Of State</t>
  </si>
  <si>
    <t>Pt. MacKenzie</t>
  </si>
  <si>
    <t>TOTAL INSTITUTIONS</t>
  </si>
  <si>
    <t>Other</t>
  </si>
  <si>
    <t>TOTAL OTHER</t>
  </si>
  <si>
    <t>AVERAGE DAILY INMATE POPULATION</t>
  </si>
  <si>
    <t>ANNUAL AVERAGE DAILY POPULATION</t>
  </si>
  <si>
    <t>ANNUAL TOTAL MANDAYS</t>
  </si>
  <si>
    <t>GRAND TOTAL</t>
  </si>
  <si>
    <t>% by entity</t>
  </si>
  <si>
    <t>Total Expenditures</t>
  </si>
  <si>
    <t>COMPONENT</t>
  </si>
  <si>
    <t>Subtract:</t>
  </si>
  <si>
    <t>ADMIN &amp; SUPPORT</t>
  </si>
  <si>
    <t>TOTAL EXPENSES</t>
  </si>
  <si>
    <t>Facility Planning - CIP</t>
  </si>
  <si>
    <t>ADJUSTED COSTS</t>
  </si>
  <si>
    <t>LESS REIMB</t>
  </si>
  <si>
    <t>BILLING RATE CALCULATION</t>
  </si>
  <si>
    <t>?</t>
  </si>
  <si>
    <t>BILLING RATE</t>
  </si>
  <si>
    <t>Section I - General  Information</t>
  </si>
  <si>
    <t>Name of Facility:</t>
  </si>
  <si>
    <t>Phone Number:</t>
  </si>
  <si>
    <t>Physical Address of Facility:</t>
  </si>
  <si>
    <t>Department of Corrections</t>
  </si>
  <si>
    <t>Juneau, Alaska</t>
  </si>
  <si>
    <t>Section II - Financial Data Summary</t>
  </si>
  <si>
    <t>Total Operating Cost for Jail:</t>
  </si>
  <si>
    <t>From:</t>
  </si>
  <si>
    <t>To:</t>
  </si>
  <si>
    <t>(month/year)</t>
  </si>
  <si>
    <t>D.  Total Consultants and Contract Services (Schedule C)</t>
  </si>
  <si>
    <t>F.  Indirect Costs (Schedule E)*</t>
  </si>
  <si>
    <t>G.  Equipment Depreciation costs (Schedule F)</t>
  </si>
  <si>
    <t>H.  Building Depreciation Costs (Schedule G)</t>
  </si>
  <si>
    <t>I.  Total Operating Costs (Sum of Schedules B-G)</t>
  </si>
  <si>
    <t>COST SHEET FOR DETENTION SERVICES</t>
  </si>
  <si>
    <t>Section III - Prisoner Population Information</t>
  </si>
  <si>
    <t>Time Frame of Prisoner Information</t>
  </si>
  <si>
    <t>(must correspond with time frame on previous page)</t>
  </si>
  <si>
    <t>Inmate Capacity of Jail:</t>
  </si>
  <si>
    <t>FROM:</t>
  </si>
  <si>
    <t>TO:</t>
  </si>
  <si>
    <t>COST SHEET FOR DETENTION SERVICES (continued)</t>
  </si>
  <si>
    <t>MALE</t>
  </si>
  <si>
    <t>FEMALE</t>
  </si>
  <si>
    <t>Average Daily Population:</t>
  </si>
  <si>
    <t>Type of Prisoner</t>
  </si>
  <si>
    <t>Federal</t>
  </si>
  <si>
    <t>Local</t>
  </si>
  <si>
    <t>State</t>
  </si>
  <si>
    <t>Section IV - Per Diem</t>
  </si>
  <si>
    <t>Proposed Per Diem Rate for Federal Prisoners:</t>
  </si>
  <si>
    <t>State Prisoner Per Diem Rate:</t>
  </si>
  <si>
    <t>Please provide the name of the individual authorized to represent and to act for the Local Government in jail day rate negotiations.</t>
  </si>
  <si>
    <t>Name</t>
  </si>
  <si>
    <t>Phone</t>
  </si>
  <si>
    <t>Fax</t>
  </si>
  <si>
    <t>Department/Office</t>
  </si>
  <si>
    <t>Street</t>
  </si>
  <si>
    <t>City</t>
  </si>
  <si>
    <t>State/Zip</t>
  </si>
  <si>
    <t>State of Alaska, Dept of Corrections</t>
  </si>
  <si>
    <t>PO Box 112000</t>
  </si>
  <si>
    <t>Juneau</t>
  </si>
  <si>
    <t>AK, 99811</t>
  </si>
  <si>
    <t>Section VI - Certification Statement</t>
  </si>
  <si>
    <t>Signature</t>
  </si>
  <si>
    <t>Date</t>
  </si>
  <si>
    <t>Title</t>
  </si>
  <si>
    <t>A. Time Frame</t>
  </si>
  <si>
    <t>Section V - Local Government Contact</t>
  </si>
  <si>
    <t xml:space="preserve">This is to certify that, to the vest of my knowledge and belief, the data furnished in Schedules B through G are accurate, complete and current, and do not include any unallocable, or unallowable costs prohibited by OMB Circular No. A-87 (Cost Principles for State and Local Governments) or any cost not related to the jail facility as discussed on Form USM-243 (Cost Sheet for Detention Services.)  The records of this agency are available for review and audit by the authorized representative of the U.S. Government to verify any jail per diem rate negotiated. </t>
  </si>
  <si>
    <t>All Buildings Construction Cost</t>
  </si>
  <si>
    <t>INDIVIDUAL INSTITUTION RATES</t>
  </si>
  <si>
    <t>Injury Leave Contribution</t>
  </si>
  <si>
    <t>Combined Hiland Mtn CC</t>
  </si>
  <si>
    <t>Total Institutional Costs</t>
  </si>
  <si>
    <t>Daily Cost per Institutional Prisoner</t>
  </si>
  <si>
    <t>Total Community Residential Centers Costs</t>
  </si>
  <si>
    <t>Total Probation/Parole Costs</t>
  </si>
  <si>
    <t>Total Community Jail Costs</t>
  </si>
  <si>
    <t>B.  Total Personnel salary/wage costs (Schedule B - Part I)</t>
  </si>
  <si>
    <t>C.  Total Personnel Benefits/Other Personnel Services (Schedule B - Part II)</t>
  </si>
  <si>
    <t>Personnel Services</t>
  </si>
  <si>
    <t>E.  Other Direct Operating costs (Schedule D1 and D2)</t>
  </si>
  <si>
    <t xml:space="preserve">COST ALLOCATION </t>
  </si>
  <si>
    <t>TOTAL COSTS</t>
  </si>
  <si>
    <t>COMMUNITY RESIDENTIAL CENTERS</t>
  </si>
  <si>
    <t>% for Institution Operations</t>
  </si>
  <si>
    <t>Less: DHSS RSA Youth Meals</t>
  </si>
  <si>
    <t>STATEWIDE DIRECT COSTS</t>
  </si>
  <si>
    <t>Statewide Direct Cost</t>
  </si>
  <si>
    <t>PERSONAL SERVICES BENEFITS BY INDIVIDUAL INSTITUTIONS</t>
  </si>
  <si>
    <t>Daily Cost per Probationer/Parolee</t>
  </si>
  <si>
    <t>AVERAGE QTRLY</t>
  </si>
  <si>
    <t>FY04</t>
  </si>
  <si>
    <t>FY03</t>
  </si>
  <si>
    <r>
      <t>Combined</t>
    </r>
    <r>
      <rPr>
        <sz val="11"/>
        <rFont val="Arial"/>
        <family val="2"/>
      </rPr>
      <t xml:space="preserve"> Hiland Mtn CC</t>
    </r>
  </si>
  <si>
    <r>
      <t>Combined</t>
    </r>
    <r>
      <rPr>
        <sz val="11"/>
        <rFont val="Arial"/>
        <family val="2"/>
      </rPr>
      <t xml:space="preserve"> Palmer CC</t>
    </r>
  </si>
  <si>
    <t>Total Quarterly Mandays</t>
  </si>
  <si>
    <t>FY05</t>
  </si>
  <si>
    <t>Community Residential Centers</t>
  </si>
  <si>
    <t>ANNUAL AVERAGE  POPULATION</t>
  </si>
  <si>
    <t>FY2004 ANNUAL TOTAL MANDAYS</t>
  </si>
  <si>
    <t>FY06</t>
  </si>
  <si>
    <t>FY07</t>
  </si>
  <si>
    <t>FY08</t>
  </si>
  <si>
    <t>FY09</t>
  </si>
  <si>
    <t>* * * * * * * * * * * *</t>
  </si>
  <si>
    <t>Anchorage Complex</t>
  </si>
  <si>
    <t>Pt. MacKenzie CF</t>
  </si>
  <si>
    <t>not a set $</t>
  </si>
  <si>
    <t>Education Services</t>
  </si>
  <si>
    <t>Financial Services</t>
  </si>
  <si>
    <t>Telecommunications</t>
  </si>
  <si>
    <t>Delivery Services</t>
  </si>
  <si>
    <t>Structure/Infra/Land/Rentals</t>
  </si>
  <si>
    <t>Equipment/Machinery</t>
  </si>
  <si>
    <t>Interagency Services</t>
  </si>
  <si>
    <t>Business</t>
  </si>
  <si>
    <t>Agricultural</t>
  </si>
  <si>
    <t>Household/Institutional</t>
  </si>
  <si>
    <t>Scientific &amp; Medical</t>
  </si>
  <si>
    <t>Safety</t>
  </si>
  <si>
    <t>Capital Outlay</t>
  </si>
  <si>
    <t>Equipment &amp; Industrial</t>
  </si>
  <si>
    <t>Information Technology</t>
  </si>
  <si>
    <t>Pt. MacKenzie Correctional Farm</t>
  </si>
  <si>
    <t>Classification &amp; Furlough</t>
  </si>
  <si>
    <t>Point of Arrest</t>
  </si>
  <si>
    <t>Palmer Probation</t>
  </si>
  <si>
    <t>FY10</t>
  </si>
  <si>
    <t xml:space="preserve">Fairbanks CC </t>
  </si>
  <si>
    <t>$0.00/mo.pp</t>
  </si>
  <si>
    <t>Prison System Expansion</t>
  </si>
  <si>
    <t>BRU</t>
  </si>
  <si>
    <t>Commissioner</t>
  </si>
  <si>
    <t>Academy</t>
  </si>
  <si>
    <t>Admin Services</t>
  </si>
  <si>
    <t>Info Tech MIS</t>
  </si>
  <si>
    <t>Facilities Rent</t>
  </si>
  <si>
    <t>Research &amp; Rcrds</t>
  </si>
  <si>
    <t>Pt MacKenzie Farm</t>
  </si>
  <si>
    <t>;</t>
  </si>
  <si>
    <t>General Capacity</t>
  </si>
  <si>
    <t>Total Electronic Monitoring Costs</t>
  </si>
  <si>
    <t>The "Total Cost" columns only represent costs associated with the Institutions and does not include other costs.  The "Total" column should reflect "Inst. Cost" rate shown on BILLING RATE CALC tab.</t>
  </si>
  <si>
    <t>$8.00/mo</t>
  </si>
  <si>
    <t>(907) 465-3315</t>
  </si>
  <si>
    <t>(907) 465-3460</t>
  </si>
  <si>
    <t>FY11</t>
  </si>
  <si>
    <t>Colorado</t>
  </si>
  <si>
    <t>2002 COC</t>
  </si>
  <si>
    <t>2003 COC</t>
  </si>
  <si>
    <t>2004 COC</t>
  </si>
  <si>
    <t>2005 COC</t>
  </si>
  <si>
    <t>2006 COC</t>
  </si>
  <si>
    <t>2007 COC</t>
  </si>
  <si>
    <t>2008 COC</t>
  </si>
  <si>
    <t>2009 COC</t>
  </si>
  <si>
    <t>2010 COC</t>
  </si>
  <si>
    <t>2011 COC</t>
  </si>
  <si>
    <t>2012 COC</t>
  </si>
  <si>
    <t>Facility Cap Imp Unit</t>
  </si>
  <si>
    <t>Commissioner's Office Jnu/Anch</t>
  </si>
  <si>
    <t>8/9</t>
  </si>
  <si>
    <t>21B</t>
  </si>
  <si>
    <t>SCHEDULE  F</t>
  </si>
  <si>
    <t>SCHEDULE  G</t>
  </si>
  <si>
    <t xml:space="preserve">Anchorage Complex </t>
  </si>
  <si>
    <t>24HR INST UTILITIES</t>
  </si>
  <si>
    <t>Facility-CAP Imp Unit</t>
  </si>
  <si>
    <t>Less: DHSS &amp; DOT RSAs</t>
  </si>
  <si>
    <t xml:space="preserve">Anchorage Probation Office </t>
  </si>
  <si>
    <t>Year</t>
  </si>
  <si>
    <t>Jul</t>
  </si>
  <si>
    <t>Aug</t>
  </si>
  <si>
    <t>Sep</t>
  </si>
  <si>
    <t>Oct</t>
  </si>
  <si>
    <t>Nov</t>
  </si>
  <si>
    <t>Dec</t>
  </si>
  <si>
    <t xml:space="preserve">Jan </t>
  </si>
  <si>
    <t>Feb</t>
  </si>
  <si>
    <t>Mar</t>
  </si>
  <si>
    <t>Apr</t>
  </si>
  <si>
    <t>May</t>
  </si>
  <si>
    <t>June</t>
  </si>
  <si>
    <t xml:space="preserve">Average Caseload </t>
  </si>
  <si>
    <t>Average Caseload Difference</t>
  </si>
  <si>
    <t>Percent Caseload Difference</t>
  </si>
  <si>
    <t>FY00</t>
  </si>
  <si>
    <t>FY01</t>
  </si>
  <si>
    <t>FY02</t>
  </si>
  <si>
    <t>FY12</t>
  </si>
  <si>
    <t xml:space="preserve">Barrow Probation Office </t>
  </si>
  <si>
    <t xml:space="preserve">Bethel     Probation Office </t>
  </si>
  <si>
    <t>15 SO cases shifted to Kenai</t>
  </si>
  <si>
    <t xml:space="preserve">Dillingham     Probation Office </t>
  </si>
  <si>
    <t xml:space="preserve">Fairbanks     Probation Office </t>
  </si>
  <si>
    <t xml:space="preserve">Juneau Probation Office </t>
  </si>
  <si>
    <t xml:space="preserve">Kenai    Probation Office </t>
  </si>
  <si>
    <t xml:space="preserve">Ketchikan   Probation Office </t>
  </si>
  <si>
    <t>Kodiak Probation Office</t>
  </si>
  <si>
    <t xml:space="preserve">Kotzebue Probation Office </t>
  </si>
  <si>
    <t xml:space="preserve">Nome    Probation Office </t>
  </si>
  <si>
    <t xml:space="preserve">Palmer Probation Office </t>
  </si>
  <si>
    <t xml:space="preserve">Sitka    Probation Office </t>
  </si>
  <si>
    <t>Statewide PSI Unit</t>
  </si>
  <si>
    <t>Statewide Combined</t>
  </si>
  <si>
    <t xml:space="preserve">FY12 </t>
  </si>
  <si>
    <r>
      <t>Combined</t>
    </r>
    <r>
      <rPr>
        <sz val="11"/>
        <rFont val="Arial"/>
        <family val="2"/>
      </rPr>
      <t xml:space="preserve"> Wildwood CC*</t>
    </r>
  </si>
  <si>
    <t>n/a</t>
  </si>
  <si>
    <t>Goose Creek CC</t>
  </si>
  <si>
    <t>Leave- Holiday</t>
  </si>
  <si>
    <t>:Difference</t>
  </si>
  <si>
    <t>Commodities / Supplies</t>
  </si>
  <si>
    <t>Other Services</t>
  </si>
  <si>
    <t xml:space="preserve">Prison System Expansion </t>
  </si>
  <si>
    <t>FY13</t>
  </si>
  <si>
    <t>19B</t>
  </si>
  <si>
    <t>19C</t>
  </si>
  <si>
    <t>19D</t>
  </si>
  <si>
    <t>19E</t>
  </si>
  <si>
    <t>20A</t>
  </si>
  <si>
    <t>20B</t>
  </si>
  <si>
    <t>20C</t>
  </si>
  <si>
    <t>21A</t>
  </si>
  <si>
    <t>21D</t>
  </si>
  <si>
    <t>21E</t>
  </si>
  <si>
    <t>28A</t>
  </si>
  <si>
    <t>36B</t>
  </si>
  <si>
    <t>Institution Education Programs</t>
  </si>
  <si>
    <t>2013 COC</t>
  </si>
  <si>
    <t xml:space="preserve">* * * * * * * * * * * * * * * * * * * * * * * * * * * * * * * * * * * * * * * * * * * * * * * * * * * * * * * * * * * * * * * * * * * * * * * * * * * * * * * * * * * * * * * * * * * * * * * * * * * * * * * * * * * * * * * * * * * * * * * * * * * * </t>
  </si>
  <si>
    <t>* * * * * * * * * * * * * *</t>
  </si>
  <si>
    <t>Comb Hiland Mtn. CC</t>
  </si>
  <si>
    <t>Offender Habilitation</t>
  </si>
  <si>
    <t>Administrative Services</t>
  </si>
  <si>
    <t>BEDS</t>
  </si>
  <si>
    <t>Bristol Bay</t>
  </si>
  <si>
    <t>Cordova</t>
  </si>
  <si>
    <t>Craig</t>
  </si>
  <si>
    <t>Dillingham</t>
  </si>
  <si>
    <t>Haines</t>
  </si>
  <si>
    <t>Homer</t>
  </si>
  <si>
    <t>Kodiak</t>
  </si>
  <si>
    <t>Kotzebue</t>
  </si>
  <si>
    <t>NSB</t>
  </si>
  <si>
    <t>Petersburg</t>
  </si>
  <si>
    <t>Seward</t>
  </si>
  <si>
    <t>Sitka</t>
  </si>
  <si>
    <t>Unalaska</t>
  </si>
  <si>
    <t>Valdez</t>
  </si>
  <si>
    <t>Wrangell</t>
  </si>
  <si>
    <t>July</t>
  </si>
  <si>
    <t>August</t>
  </si>
  <si>
    <t>September</t>
  </si>
  <si>
    <t>October</t>
  </si>
  <si>
    <t>November</t>
  </si>
  <si>
    <t>December</t>
  </si>
  <si>
    <t>January</t>
  </si>
  <si>
    <t>February</t>
  </si>
  <si>
    <t>March</t>
  </si>
  <si>
    <t xml:space="preserve">April </t>
  </si>
  <si>
    <t xml:space="preserve">Total </t>
  </si>
  <si>
    <t>Persons</t>
  </si>
  <si>
    <t>CAP DAYS</t>
  </si>
  <si>
    <t xml:space="preserve">March </t>
  </si>
  <si>
    <t>April</t>
  </si>
  <si>
    <t xml:space="preserve">May </t>
  </si>
  <si>
    <t>Man-days</t>
  </si>
  <si>
    <t>FY14</t>
  </si>
  <si>
    <t>Laundry - Lemon Creek</t>
  </si>
  <si>
    <t xml:space="preserve">Total Equipment Cost &amp; Building      Depreciation </t>
  </si>
  <si>
    <t>21C</t>
  </si>
  <si>
    <t>Programs</t>
  </si>
  <si>
    <t>2015 COC</t>
  </si>
  <si>
    <t>Total Actual Operating Cost for Prior Fiscal Year</t>
  </si>
  <si>
    <t>Daily Cost Per Community Residential Center Inmate</t>
  </si>
  <si>
    <t>N/A</t>
  </si>
  <si>
    <t>AVG Daily</t>
  </si>
  <si>
    <t>(Sched-A)</t>
  </si>
  <si>
    <t>Average</t>
  </si>
  <si>
    <t>Research &amp; Records</t>
  </si>
  <si>
    <t>FY15</t>
  </si>
  <si>
    <t>FY16</t>
  </si>
  <si>
    <t xml:space="preserve">Total Out-of-State Contractual Costs </t>
  </si>
  <si>
    <t>Budgeted DPS Transport RSA</t>
  </si>
  <si>
    <t>Max</t>
  </si>
  <si>
    <t>Gen Capacity</t>
  </si>
  <si>
    <t>Capactiy</t>
  </si>
  <si>
    <t>IRIS
Unit</t>
  </si>
  <si>
    <t>Procurement</t>
  </si>
  <si>
    <t>Probation Region ONE</t>
  </si>
  <si>
    <t>Probation Region TWO</t>
  </si>
  <si>
    <t>Physical Health Care</t>
  </si>
  <si>
    <t>IRIS Codes</t>
  </si>
  <si>
    <t>Public Employee's Retirement System Defined Benefits</t>
  </si>
  <si>
    <t>Public Employee's Retirement System Defined Contribution</t>
  </si>
  <si>
    <t>Public Employee's Retirement System Defined Cont Health Reim</t>
  </si>
  <si>
    <t>Public Employee's Retiremnt Sys Defined Cont Retiree Medical</t>
  </si>
  <si>
    <t>Public Employee's Retiremnt Sys Defined Benefit Unfnd Liab</t>
  </si>
  <si>
    <t>Basic Life and Travel</t>
  </si>
  <si>
    <t>Worker's Compensation Insurance</t>
  </si>
  <si>
    <t>Leave Cash In Employer Charge</t>
  </si>
  <si>
    <t>Terminal Leave Employer Charge</t>
  </si>
  <si>
    <t>ACOA Injury Leave Contribution</t>
  </si>
  <si>
    <t>Medicare Tax</t>
  </si>
  <si>
    <t>:Total Object Category</t>
  </si>
  <si>
    <t>IRIS CODES</t>
  </si>
  <si>
    <t>Non-Interagency Svcs</t>
  </si>
  <si>
    <t>Training/Conferences</t>
  </si>
  <si>
    <t>Memberships</t>
  </si>
  <si>
    <t>Penalties And Fines</t>
  </si>
  <si>
    <t>Claim/Judgement Non-Taxable</t>
  </si>
  <si>
    <t>Uncleared 1Card Transactions</t>
  </si>
  <si>
    <t>Software  Licensing</t>
  </si>
  <si>
    <t>Software Maintenance</t>
  </si>
  <si>
    <t>Long Distance</t>
  </si>
  <si>
    <t>Local/Equipment Charges</t>
  </si>
  <si>
    <t>Data/Network</t>
  </si>
  <si>
    <t>Cellular Phones</t>
  </si>
  <si>
    <t>Psychiatric</t>
  </si>
  <si>
    <t>Medical</t>
  </si>
  <si>
    <t>Freight</t>
  </si>
  <si>
    <t>Courier</t>
  </si>
  <si>
    <t>Postage</t>
  </si>
  <si>
    <t>Water and Sewage</t>
  </si>
  <si>
    <t>Disposal</t>
  </si>
  <si>
    <t>Inspections/Testing</t>
  </si>
  <si>
    <t>Structure, Infrastructure and Land - Rentals/Leases</t>
  </si>
  <si>
    <t>Equipment and Machinery - Repairs/Maintenance</t>
  </si>
  <si>
    <t>Equipment and Machinery - Rentals/Leases</t>
  </si>
  <si>
    <t>Interpreter</t>
  </si>
  <si>
    <t>Print/Copy/Graphics</t>
  </si>
  <si>
    <t>Honorariums/Stipend</t>
  </si>
  <si>
    <t>Laundry</t>
  </si>
  <si>
    <t>Commission Sales</t>
  </si>
  <si>
    <t>3000</t>
  </si>
  <si>
    <t>3002</t>
  </si>
  <si>
    <t>3013</t>
  </si>
  <si>
    <t>3016</t>
  </si>
  <si>
    <t>3019</t>
  </si>
  <si>
    <t>3032</t>
  </si>
  <si>
    <t>3033</t>
  </si>
  <si>
    <t>3035</t>
  </si>
  <si>
    <t>3036</t>
  </si>
  <si>
    <t>3037</t>
  </si>
  <si>
    <t>3038</t>
  </si>
  <si>
    <t>3040</t>
  </si>
  <si>
    <t>3041</t>
  </si>
  <si>
    <t>3043</t>
  </si>
  <si>
    <t>3044</t>
  </si>
  <si>
    <t>3045</t>
  </si>
  <si>
    <t>3049</t>
  </si>
  <si>
    <t>3050</t>
  </si>
  <si>
    <t>3055</t>
  </si>
  <si>
    <t>3057</t>
  </si>
  <si>
    <t>3058</t>
  </si>
  <si>
    <t>3059</t>
  </si>
  <si>
    <t>3064</t>
  </si>
  <si>
    <t>3066</t>
  </si>
  <si>
    <t>3067</t>
  </si>
  <si>
    <t>3068</t>
  </si>
  <si>
    <t>3069</t>
  </si>
  <si>
    <t>Hiland Mtn. Correctional</t>
  </si>
  <si>
    <t>Anvil Mtn. Correctional</t>
  </si>
  <si>
    <t>Television</t>
  </si>
  <si>
    <t>Electricity</t>
  </si>
  <si>
    <t>Conservation/Enviromental</t>
  </si>
  <si>
    <t>Employee Tuition</t>
  </si>
  <si>
    <t>Natural Gas/Propane</t>
  </si>
  <si>
    <t>Structure, Infrastructure and Land - Repairs/Maintenance</t>
  </si>
  <si>
    <t>Transport Services</t>
  </si>
  <si>
    <t>Fairbanks Correctional</t>
  </si>
  <si>
    <t>Information Technology Training</t>
  </si>
  <si>
    <t>Goose Creek Correctional</t>
  </si>
  <si>
    <t>Dental</t>
  </si>
  <si>
    <t>Program Management/Consulting</t>
  </si>
  <si>
    <t>Spring Creek Correctional</t>
  </si>
  <si>
    <t>Wildwood Correctional</t>
  </si>
  <si>
    <t>Interest Expense</t>
  </si>
  <si>
    <t>Safety Services</t>
  </si>
  <si>
    <t>Insurance/Bonds</t>
  </si>
  <si>
    <t>Other Wireless Charges</t>
  </si>
  <si>
    <t>Case Costs</t>
  </si>
  <si>
    <t>Pt. MacKenzie Correctional</t>
  </si>
  <si>
    <t>Heating Oil</t>
  </si>
  <si>
    <t>Lemon Creek Correctional</t>
  </si>
  <si>
    <t>Less: DOT RSA Laundry Services</t>
  </si>
  <si>
    <t>Settlement Legal Fees</t>
  </si>
  <si>
    <t>Palmer Correctional</t>
  </si>
  <si>
    <t>24-HRS Utilities</t>
  </si>
  <si>
    <t>Services</t>
  </si>
  <si>
    <t>Health &amp; Rehabilitation</t>
  </si>
  <si>
    <t>Less: Alcohol Tax RSA (SCCC Men's Sub-Acute &amp; Juvenile Offender Pgm)</t>
  </si>
  <si>
    <t>Scientific and Medical</t>
  </si>
  <si>
    <t>Grants</t>
  </si>
  <si>
    <t xml:space="preserve">Recidivism Reduction </t>
  </si>
  <si>
    <t>Expansion</t>
  </si>
  <si>
    <t xml:space="preserve">Prison System </t>
  </si>
  <si>
    <t>ck</t>
  </si>
  <si>
    <t>:</t>
  </si>
  <si>
    <t>:Sub Total</t>
  </si>
  <si>
    <t>Batterer's RSA</t>
  </si>
  <si>
    <t>Appr Type</t>
  </si>
  <si>
    <t>JCOM</t>
  </si>
  <si>
    <t>JADS</t>
  </si>
  <si>
    <t>JINT</t>
  </si>
  <si>
    <t>JRRE</t>
  </si>
  <si>
    <t>JREN</t>
  </si>
  <si>
    <t>JCOA</t>
  </si>
  <si>
    <t>JPAB</t>
  </si>
  <si>
    <t>Health &amp; Rehabilitation Services</t>
  </si>
  <si>
    <t>JHRS</t>
  </si>
  <si>
    <t>Appr Group</t>
  </si>
  <si>
    <t>ApprType</t>
  </si>
  <si>
    <t>JBHC</t>
  </si>
  <si>
    <t>JSAP</t>
  </si>
  <si>
    <t>Offender Habilitation Programs</t>
  </si>
  <si>
    <t>JOHP</t>
  </si>
  <si>
    <t>JEDP</t>
  </si>
  <si>
    <t>JPOP</t>
  </si>
  <si>
    <t>JTRN</t>
  </si>
  <si>
    <t>JAMC</t>
  </si>
  <si>
    <t>JGCC</t>
  </si>
  <si>
    <t>JLCC</t>
  </si>
  <si>
    <t>JYKC</t>
  </si>
  <si>
    <t>JPCC</t>
  </si>
  <si>
    <t>JCIM</t>
  </si>
  <si>
    <t>JIDO</t>
  </si>
  <si>
    <t>JPSE</t>
  </si>
  <si>
    <t>JCLF</t>
  </si>
  <si>
    <t>Decreased by RSA</t>
  </si>
  <si>
    <t>JPOA</t>
  </si>
  <si>
    <t>JRRG</t>
  </si>
  <si>
    <t>JCOJ</t>
  </si>
  <si>
    <t>JPPD</t>
  </si>
  <si>
    <t>JSPP</t>
  </si>
  <si>
    <t>JOOS</t>
  </si>
  <si>
    <t>JELM</t>
  </si>
  <si>
    <t>JCRC</t>
  </si>
  <si>
    <t>JFAC</t>
  </si>
  <si>
    <t>JOFH</t>
  </si>
  <si>
    <t>Administration &amp; Support*</t>
  </si>
  <si>
    <t>HEALTH &amp; REHABILITATION SERVICES</t>
  </si>
  <si>
    <t>OFFENDER HABILITATION PROGRAMS</t>
  </si>
  <si>
    <t xml:space="preserve">Fairbanks Correctional  </t>
  </si>
  <si>
    <t>Ketchikan Correctional</t>
  </si>
  <si>
    <t>Mat-Su Correctional</t>
  </si>
  <si>
    <t xml:space="preserve">Palmer Correctional </t>
  </si>
  <si>
    <t xml:space="preserve">Yukon Kuskokwim Correctional </t>
  </si>
  <si>
    <r>
      <rPr>
        <b/>
        <i/>
        <sz val="10"/>
        <rFont val="Calibri"/>
        <family val="2"/>
      </rPr>
      <t>Add</t>
    </r>
    <r>
      <rPr>
        <b/>
        <sz val="10"/>
        <rFont val="Calibri"/>
        <family val="2"/>
      </rPr>
      <t xml:space="preserve">: </t>
    </r>
    <r>
      <rPr>
        <sz val="10"/>
        <rFont val="Calibri"/>
        <family val="2"/>
      </rPr>
      <t>Depreciation Calculation</t>
    </r>
  </si>
  <si>
    <t>JVEP</t>
  </si>
  <si>
    <t>Equipment &amp; Building Depreciation</t>
  </si>
  <si>
    <t>Health &amp; Rehab Svcs: SCCC Men's RSA</t>
  </si>
  <si>
    <t>INDIRECT COST</t>
  </si>
  <si>
    <t>DIRECT COST</t>
  </si>
  <si>
    <t>13 Institutions</t>
  </si>
  <si>
    <t>Facility Planning - Capital Improvement Program</t>
  </si>
  <si>
    <t>Offender Habilitation Programs RDU</t>
  </si>
  <si>
    <t>Health &amp; Rehabilitation Services RDU</t>
  </si>
  <si>
    <t>Regional &amp; Community Jails</t>
  </si>
  <si>
    <t>Probation &amp; Parole Director's Office</t>
  </si>
  <si>
    <t>State-wide Probation &amp; Parole</t>
  </si>
  <si>
    <t>Out of State Contractual</t>
  </si>
  <si>
    <t>TOTAL:</t>
  </si>
  <si>
    <t xml:space="preserve">Facilities Maintenance </t>
  </si>
  <si>
    <t>Administration &amp; Support RDU</t>
  </si>
  <si>
    <t>Recidivism Reduction Grant</t>
  </si>
  <si>
    <t>Inmate Transportation Unit</t>
  </si>
  <si>
    <t>Reconciliation to Actuals</t>
  </si>
  <si>
    <t>DOC Total Cost: ( By Appr Type Alder Report )</t>
  </si>
  <si>
    <t>Less: 3 Education RSAs</t>
  </si>
  <si>
    <t>Less: DPS PREA RSA</t>
  </si>
  <si>
    <t>Less: DPS Transportation RSA</t>
  </si>
  <si>
    <t>Female</t>
  </si>
  <si>
    <t>Population</t>
  </si>
  <si>
    <t>Division</t>
  </si>
  <si>
    <t>Human Resources</t>
  </si>
  <si>
    <t>Pre-Trial Services</t>
  </si>
  <si>
    <t>Sex Offender Managemnet Pr</t>
  </si>
  <si>
    <t>LOCATION</t>
  </si>
  <si>
    <t>Budgeted</t>
  </si>
  <si>
    <t>Less: RSA Meals Youth Fac</t>
  </si>
  <si>
    <t>Travel / Moving Costs</t>
  </si>
  <si>
    <t xml:space="preserve">Budgeted RSA </t>
  </si>
  <si>
    <t xml:space="preserve">Budgeted MMM&amp;S/PCC </t>
  </si>
  <si>
    <t>Pretrial Services</t>
  </si>
  <si>
    <t>JPTS</t>
  </si>
  <si>
    <t>Pretrial Services Division</t>
  </si>
  <si>
    <t>(2 budgeted RSA's)</t>
  </si>
  <si>
    <t xml:space="preserve">        Less: GCCC Security DPS RS (Unbudgeted)</t>
  </si>
  <si>
    <t>JGCCC</t>
  </si>
  <si>
    <t>Unbudgeted DPS/GCCC Security</t>
  </si>
  <si>
    <t>2017COC</t>
  </si>
  <si>
    <t>FY17</t>
  </si>
  <si>
    <t>FY18</t>
  </si>
  <si>
    <t>Increase in July due to Bethel vacant cases being assigned to Barrow for coverage</t>
  </si>
  <si>
    <t>2019 COC</t>
  </si>
  <si>
    <t>Institution Director's Office (IDO)</t>
  </si>
  <si>
    <t xml:space="preserve">Wildwood Correctional </t>
  </si>
  <si>
    <t xml:space="preserve">Spring Creek Correctional </t>
  </si>
  <si>
    <t xml:space="preserve">Goose Creek Correctional </t>
  </si>
  <si>
    <t xml:space="preserve">Hiland Mtn. Correctional </t>
  </si>
  <si>
    <t xml:space="preserve">Mat-Su Correctional </t>
  </si>
  <si>
    <t xml:space="preserve">Fairbanks Correctional </t>
  </si>
  <si>
    <t xml:space="preserve">Ketchikan Correctional </t>
  </si>
  <si>
    <t xml:space="preserve">Lemon Creek Correctional </t>
  </si>
  <si>
    <t xml:space="preserve">Pt. Mackenzie Correctional </t>
  </si>
  <si>
    <t>Inmate Transportation</t>
  </si>
  <si>
    <t>Education Programs</t>
  </si>
  <si>
    <t>Probation &amp; Parole Director Office</t>
  </si>
  <si>
    <t>Behavioral Health Care</t>
  </si>
  <si>
    <t>CONV</t>
  </si>
  <si>
    <t>UUU (Unidentified)/IRIS CONV</t>
  </si>
  <si>
    <t xml:space="preserve">Juneau Admin Office / Anchorage </t>
  </si>
  <si>
    <t>Garment Shop HMCC</t>
  </si>
  <si>
    <t>Major Med/Guard Hire</t>
  </si>
  <si>
    <t>Yukon Kuskokwim Correctional</t>
  </si>
  <si>
    <t>AK Supplemental Benefit (SBS)</t>
  </si>
  <si>
    <t>Commodity/ Transfer</t>
  </si>
  <si>
    <t>Travel/Moving Cost</t>
  </si>
  <si>
    <t>2000/2003</t>
  </si>
  <si>
    <t>2000/2001</t>
  </si>
  <si>
    <t>2000/2001/2004</t>
  </si>
  <si>
    <t>3001/3002</t>
  </si>
  <si>
    <t>Utility Costs: Based on Alder Report Expenditures by Location</t>
  </si>
  <si>
    <t>DOC 
Annual Cost</t>
  </si>
  <si>
    <t>1001/1002/1004</t>
  </si>
  <si>
    <t>Less: Reimb Courts (Mental Health Court)</t>
  </si>
  <si>
    <t>Less: JSAP FED Public Protection</t>
  </si>
  <si>
    <t xml:space="preserve">Less: JBHC Alcohol Tax RSA (SCCC Men's Sub-Acute JAS) </t>
  </si>
  <si>
    <t>Less: JSAP RSAT &amp; Vivitrol RSA's</t>
  </si>
  <si>
    <t>Less: JEDP Carl Perkings RS</t>
  </si>
  <si>
    <t>Less: JEDP ABE/GED RS</t>
  </si>
  <si>
    <t>Institutions Director's Office (IDO)</t>
  </si>
  <si>
    <t>Less: JTRN Inmate Transport RS</t>
  </si>
  <si>
    <t>: Grand Total</t>
  </si>
  <si>
    <t>Less Consultants &amp; Contract Services:</t>
  </si>
  <si>
    <t>Transportation Unit</t>
  </si>
  <si>
    <t>Point Mackenzie Correctional</t>
  </si>
  <si>
    <t>Revenue Code</t>
  </si>
  <si>
    <t xml:space="preserve">        Less: DNR/MMM&amp;S RSA (Closed)</t>
  </si>
  <si>
    <t>FY19</t>
  </si>
  <si>
    <t xml:space="preserve">26 cases shifted to Kenai </t>
  </si>
  <si>
    <t>Cases shifted to Kodiak following PO III retirement</t>
  </si>
  <si>
    <t>Bethel cases returned to Bethel Office for supervision (May)</t>
  </si>
  <si>
    <t>Federal Receipts - Grants</t>
  </si>
  <si>
    <t>Less: Unbudgeted RSA Security</t>
  </si>
  <si>
    <t>JEDP/JVEP</t>
  </si>
  <si>
    <t>Less: Education (3) RSAs , JVEP (unbudgeted)</t>
  </si>
  <si>
    <t>Less: 1 Voc Ed Programs RSA's (Unbudgeted)</t>
  </si>
  <si>
    <t>Notes:</t>
  </si>
  <si>
    <t>Adjusted/PCC Due to Closure</t>
  </si>
  <si>
    <t xml:space="preserve">Notes: </t>
  </si>
  <si>
    <r>
      <t xml:space="preserve">TWO </t>
    </r>
    <r>
      <rPr>
        <b/>
        <i/>
        <sz val="11"/>
        <rFont val="Arial"/>
        <family val="2"/>
      </rPr>
      <t>(New)</t>
    </r>
  </si>
  <si>
    <r>
      <t xml:space="preserve">Pretrial EM </t>
    </r>
    <r>
      <rPr>
        <b/>
        <i/>
        <sz val="11"/>
        <rFont val="Arial"/>
        <family val="2"/>
      </rPr>
      <t>(New)</t>
    </r>
  </si>
  <si>
    <t>Business/Safety</t>
  </si>
  <si>
    <t>Rev Codes:</t>
  </si>
  <si>
    <t>Administration &amp; Support</t>
  </si>
  <si>
    <t>Goose Creek Furniture GCCC</t>
  </si>
  <si>
    <t>FY20</t>
  </si>
  <si>
    <t>Dillingham cases shifted, then returned March.</t>
  </si>
  <si>
    <t>2020 COC</t>
  </si>
  <si>
    <t>Hiland Mtn.CC</t>
  </si>
  <si>
    <t>Anvil Mtn.CC</t>
  </si>
  <si>
    <t xml:space="preserve">Total Pretrial Costs </t>
  </si>
  <si>
    <t>April Wilkerson</t>
  </si>
  <si>
    <t>ANNUAL AVERAGE DAILY</t>
  </si>
  <si>
    <t>FY21</t>
  </si>
  <si>
    <t>Dillingham cases assigned to Kenai (April)</t>
  </si>
  <si>
    <t>Dillingham/Kodiak Cases assigned to Palmer during PO III vacancies</t>
  </si>
  <si>
    <t xml:space="preserve">2020 Leap Year </t>
  </si>
  <si>
    <t>Less: DHSS RS (2) Meals &amp; Maint</t>
  </si>
  <si>
    <t>RSAs</t>
  </si>
  <si>
    <t>ck IRIS</t>
  </si>
  <si>
    <t>*Utility Cost included within each Institution $10,810,288.89</t>
  </si>
  <si>
    <t>Less: JCIM Unbudgeted (Multiple)</t>
  </si>
  <si>
    <t>*FY20 Probation Offices Utility Cost Charged to 24hr Utility ARU $43,212.39</t>
  </si>
  <si>
    <t>Substance Abuse Programs</t>
  </si>
  <si>
    <t>Health &amp; Rehabilitation DO</t>
  </si>
  <si>
    <t>Recidivism Reduction Grants</t>
  </si>
  <si>
    <t>Vocation Education Programs</t>
  </si>
  <si>
    <t>Information Tech MIS</t>
  </si>
  <si>
    <t>Total Alder Revenue Report (budgeted &amp; Unbudgeted RSA's)</t>
  </si>
  <si>
    <t>JHDO</t>
  </si>
  <si>
    <t xml:space="preserve">Unbudgeted RS (2) </t>
  </si>
  <si>
    <t>JWCC</t>
  </si>
  <si>
    <t>Unbudgeted WCC Meals RSA</t>
  </si>
  <si>
    <t>Less: RSA Meals</t>
  </si>
  <si>
    <t xml:space="preserve">        Less: RS (Unbudgeted)</t>
  </si>
  <si>
    <t>JCIP</t>
  </si>
  <si>
    <t xml:space="preserve">        Less: (2) Laundry &amp; Meals RS</t>
  </si>
  <si>
    <t>JAMC /JYKC</t>
  </si>
  <si>
    <t>Budgeted DOT/Laundry &amp; Meals RS</t>
  </si>
  <si>
    <t>Youth Meals &amp; Maint (3) Budgeted RS</t>
  </si>
  <si>
    <t>Less: (2) RSAT &amp; Vivitrol RS</t>
  </si>
  <si>
    <t>Health &amp; Rehab Svcs: RSAT &amp; Vivitrol R</t>
  </si>
  <si>
    <t>Less: FED Public Protection Grants</t>
  </si>
  <si>
    <t>FED Receipts GRANTS</t>
  </si>
  <si>
    <t>Less: WCC Meals RS (Unbudgeted)</t>
  </si>
  <si>
    <t>SCAAPGrant JADS-IDO/2nd Chance JRRG</t>
  </si>
  <si>
    <t>FY20 PTS $10,116,253.31</t>
  </si>
  <si>
    <t>2022 COC</t>
  </si>
  <si>
    <t>FY2021</t>
  </si>
  <si>
    <r>
      <t xml:space="preserve">Pretrial EM </t>
    </r>
    <r>
      <rPr>
        <b/>
        <i/>
        <sz val="11"/>
        <rFont val="Arial"/>
        <family val="2"/>
      </rPr>
      <t>Not Reported</t>
    </r>
  </si>
  <si>
    <t>FY22</t>
  </si>
  <si>
    <t>Cases shifted to Fairbanks/Nome/Kotzebue due to staffing issues</t>
  </si>
  <si>
    <t>ok</t>
  </si>
  <si>
    <t>JADS / JCOA
JCOM / JINT
JPAB / JREN
JRER
JRRE</t>
  </si>
  <si>
    <t>Grand Total (HRS RDU) 7 components (BHC, PHC, HRDirector,Domestic V, Substance, Sex Offender, Reentry) + RSA's</t>
  </si>
  <si>
    <t>Note*: Includes SF Rent, Correctional Academy, Recruit &amp;  Retn , and Parole Board Expenditues</t>
  </si>
  <si>
    <t>Recruitment &amp; R</t>
  </si>
  <si>
    <t>5014 / Misc Grants</t>
  </si>
  <si>
    <t>Grand Total (OFH RDU) 2 components (Education Programs &amp; Vocational Education Programs)</t>
  </si>
  <si>
    <t>Less: Misc. Grants</t>
  </si>
  <si>
    <t>JRER</t>
  </si>
  <si>
    <t>Less: RS/Budgeted &amp; 
Unbudgeted</t>
  </si>
  <si>
    <t>Alder Total (8 components):</t>
  </si>
  <si>
    <t>FY21 COVID-19 Response &amp; Prevention $600,000  (Unbudgeted ARU 20CVID407) JADS</t>
  </si>
  <si>
    <t>By Individual Institution (Based on FY2021 Actuals)</t>
  </si>
  <si>
    <t>5200/5301</t>
  </si>
  <si>
    <t>JCOM/JADS/JINT</t>
  </si>
  <si>
    <t xml:space="preserve">        Less: WCC Meals RS </t>
  </si>
  <si>
    <t>JRRG Less: FED Public Protection Grants</t>
  </si>
  <si>
    <t>JRRG: Misc Grants</t>
  </si>
  <si>
    <t>Budg /Unbudg - Offender Programs (3) RSAs</t>
  </si>
  <si>
    <t>CostReimb</t>
  </si>
  <si>
    <t>DOC Reimb</t>
  </si>
  <si>
    <t>Less JPPD FED Receipts</t>
  </si>
  <si>
    <t>FY2021                                                                                                                                                    AVERAGE YEAR TO DATE INMATE POPULATION</t>
  </si>
  <si>
    <t>Budgeted Restricted Revenue</t>
  </si>
  <si>
    <t>FY2022</t>
  </si>
  <si>
    <t xml:space="preserve">   FY2022                                                                                                                                               AVERAGE YEAR TO DATE INMATE POPULATION</t>
  </si>
  <si>
    <t>2023 COC</t>
  </si>
  <si>
    <t>Management/Consulting</t>
  </si>
  <si>
    <t>Contractual/ Transfer</t>
  </si>
  <si>
    <t>Architect/ Engineer</t>
  </si>
  <si>
    <t>Surveys/Appraisals</t>
  </si>
  <si>
    <t>Interfund/ Transfer</t>
  </si>
  <si>
    <t>0012</t>
  </si>
  <si>
    <t>Management/ Consulting</t>
  </si>
  <si>
    <t>5000/5002</t>
  </si>
  <si>
    <t>Expert Witness</t>
  </si>
  <si>
    <t>Information Technology Consulting</t>
  </si>
  <si>
    <t>Grantee Monitoring</t>
  </si>
  <si>
    <t>Architect/Engineer</t>
  </si>
  <si>
    <t>5002/5004/5009</t>
  </si>
  <si>
    <t>Equipment &amp; Industrial/Capital</t>
  </si>
  <si>
    <t>Transcription/Record</t>
  </si>
  <si>
    <t>Personnel Services/Interfund transfer</t>
  </si>
  <si>
    <t>Total Expenditures of FY2022</t>
  </si>
  <si>
    <t>Bud/Unbudgeted:</t>
  </si>
  <si>
    <t>Training Academy/DP3 Academy</t>
  </si>
  <si>
    <t>Recruitment &amp; Retention</t>
  </si>
  <si>
    <t>2250/2251</t>
  </si>
  <si>
    <t>2300/2310</t>
  </si>
  <si>
    <t>2410/2411</t>
  </si>
  <si>
    <t>Budgeted RS MH@SCCC</t>
  </si>
  <si>
    <t>Budgeted Meals &amp; Laundry RS ONLY</t>
  </si>
  <si>
    <t>Grand
Total</t>
  </si>
  <si>
    <t>FY23</t>
  </si>
  <si>
    <t>1/01/17 - SB91 Changes Effective</t>
  </si>
  <si>
    <t xml:space="preserve">11/27/17 - SB54 - Supervision Caps = 75 </t>
  </si>
  <si>
    <t>7/8/19 - HB49 passed</t>
  </si>
  <si>
    <t xml:space="preserve">        Less: RS (Unbudgeted RS)/ Medical Co-pay</t>
  </si>
  <si>
    <t>Unbudgeted RS/Medical Co-pay</t>
  </si>
  <si>
    <t>Deputy Commissioner</t>
  </si>
  <si>
    <t>Reduced Total Expenditures by Reimbursements</t>
  </si>
  <si>
    <t>2000/2001/2003</t>
  </si>
  <si>
    <t>FY23 N/A - Per OMB Interfund Transfer SHOULD NOT BE Included as Expenditures</t>
  </si>
  <si>
    <t>Test Monitor/Proctor</t>
  </si>
  <si>
    <t>4000/4004</t>
  </si>
  <si>
    <t>Less: JPHC Core Service Unbud RSA's &amp; Medical Co-Pay Reimb.</t>
  </si>
  <si>
    <t>Less: JEDP AWIB-SAEE1 RS</t>
  </si>
  <si>
    <t>All Budgeted/Unbudgeted RSA's/Grants</t>
  </si>
  <si>
    <t>ANCH</t>
  </si>
  <si>
    <t>JNU</t>
  </si>
  <si>
    <t xml:space="preserve">JPHC Medical Co-pays </t>
  </si>
  <si>
    <t>(1) Meals Budgeted RS</t>
  </si>
  <si>
    <t>(2) Budgeted RS</t>
  </si>
  <si>
    <t xml:space="preserve">        Less: (2) Meals YKCC</t>
  </si>
  <si>
    <t>Decreased by 3 RSAs (ABE/NO CARL P/MOS)</t>
  </si>
  <si>
    <t xml:space="preserve">   FY2023                                                                                                                                               AVERAGE YEAR TO DATE INMATE POPULATION</t>
  </si>
  <si>
    <t>FY2023</t>
  </si>
  <si>
    <t>232/130</t>
  </si>
  <si>
    <t>226/124</t>
  </si>
  <si>
    <t>Institutions / Direct Revenue</t>
  </si>
  <si>
    <t>ck / ALL DOC Revenue</t>
  </si>
  <si>
    <t xml:space="preserve">COOK INLET PRETRIAL   </t>
  </si>
  <si>
    <t xml:space="preserve">INDIANA STATE PRISON  </t>
  </si>
  <si>
    <t xml:space="preserve">WASHINGTON STATE      </t>
  </si>
  <si>
    <t xml:space="preserve">EM CLITHEROE WOMENS   </t>
  </si>
  <si>
    <t>WILDWOOD TRANSIT</t>
  </si>
  <si>
    <t>Actuals COC 2024</t>
  </si>
  <si>
    <t>2024 COC</t>
  </si>
  <si>
    <t>2024 Leap Year*</t>
  </si>
  <si>
    <t>Daily Cost (Divided by 366 days)*</t>
  </si>
  <si>
    <t>Average Daily Institutional Population for Fiscal Year 2024</t>
  </si>
  <si>
    <t>Average Daily CRC Population for Fiscal Year 2024</t>
  </si>
  <si>
    <t>Annual Total Mandays for Fiscal Year 2024</t>
  </si>
  <si>
    <t>Average Daily Probationers/Parole Served for Fiscal Year 2024</t>
  </si>
  <si>
    <t>Average Daily Community Jail Population for Fiscal Year 2024</t>
  </si>
  <si>
    <t>Average Daily Electronic Monitoring Population for Fiscal Year 2024</t>
  </si>
  <si>
    <t>Average Daily Out-of-State Population for Fiscal Year 2024</t>
  </si>
  <si>
    <t>Average Daily Pretrial Population for Fiscal Year 2024</t>
  </si>
  <si>
    <t>Revised 9/11/24 lj</t>
  </si>
  <si>
    <t>FY24 No RS</t>
  </si>
  <si>
    <t>Accounting/Auditing</t>
  </si>
  <si>
    <t>FY24 No Unbudgeted RS</t>
  </si>
  <si>
    <t xml:space="preserve">KCC - FY24 No Unbudgeted Meals RS </t>
  </si>
  <si>
    <t>Meals RS $ 60,898.24 / Laundry RS $312,947.07</t>
  </si>
  <si>
    <t xml:space="preserve">:FY24 (2) RSAs </t>
  </si>
  <si>
    <t>FY24 MealsBudgeted RS</t>
  </si>
  <si>
    <t>FY24 No Unbudg RS</t>
  </si>
  <si>
    <t>Budgeted Meals RS $53,896.15 includes CRC Meals thru YKCC</t>
  </si>
  <si>
    <t>Equipment operator Charges</t>
  </si>
  <si>
    <t>Structures &amp; Infrastructure</t>
  </si>
  <si>
    <t>FY24 N/A: Less Interfund Transfer</t>
  </si>
  <si>
    <t>Revised  9/12/24 lj</t>
  </si>
  <si>
    <t>Grand Total of 7 components $ 88,549,597.29 BHC, PHC, HRDirector,Domestic V, Substance, Sex Offender,Re-entry)</t>
  </si>
  <si>
    <t>FY24 Multiple Unbudgeted RS</t>
  </si>
  <si>
    <t>FY24 N/A Less Interfund Transfer: Total by RDU</t>
  </si>
  <si>
    <t>5301/ Title 47 RSA &amp; MH @ SCCC RSA</t>
  </si>
  <si>
    <t>Less:JPHC Healthy Families Initiative</t>
  </si>
  <si>
    <t xml:space="preserve">FY24 No Carl Perkins/ABGE/AWIB RSAs </t>
  </si>
  <si>
    <t xml:space="preserve">FY24 No Unbudgeted RS Step C </t>
  </si>
  <si>
    <t>Less: JEDP Career &amp; Tech RS</t>
  </si>
  <si>
    <t>Total Alder Revenue Report (1 budgeted RS)</t>
  </si>
  <si>
    <t>FY24 Collected $24,6202.76+REC $320,137.21</t>
  </si>
  <si>
    <t>:Total ALDER Report, 24HRS (Portion if any non-Inst),less JPTS,less Interfund Transfer/+Inst Trn</t>
  </si>
  <si>
    <t>Revised 09/13/24 lj</t>
  </si>
  <si>
    <t>FY24 Forensic Analyst &amp; Core Services Smooth RSAs- JADS</t>
  </si>
  <si>
    <t>Less: Budgeted RS: Forensic Analyst/ Core Services/ No Special Assign DPS</t>
  </si>
  <si>
    <t>FY24 Employee Wellness (Unbudgeted RS) JCOM</t>
  </si>
  <si>
    <t>Revised:  09/18/24 lj</t>
  </si>
  <si>
    <t>Revised 9/18/24 lj</t>
  </si>
  <si>
    <t>Total as of 6/30/24</t>
  </si>
  <si>
    <t>FY2024 Vehicle Inventory Total</t>
  </si>
  <si>
    <t>Probation &amp; Parole (Juneau,Palmer)</t>
  </si>
  <si>
    <t>Aquired in FY2024</t>
  </si>
  <si>
    <t>Updated:  9/18/24 lj</t>
  </si>
  <si>
    <t>Revised 09/18/24 lj</t>
  </si>
  <si>
    <t>FY24 Employee Wellness Program (Unbudgeted RS )</t>
  </si>
  <si>
    <t>RS Forensic Analyst &amp; Core Services Smooth</t>
  </si>
  <si>
    <t>JPHC</t>
  </si>
  <si>
    <t>FY24 Healthy Families Initiative RS</t>
  </si>
  <si>
    <t>JADM</t>
  </si>
  <si>
    <t>FY24 Career &amp; Technical Education RS</t>
  </si>
  <si>
    <t>Revised: 9/18/24 lj</t>
  </si>
  <si>
    <t>Undgeted Employee Wellness RS</t>
  </si>
  <si>
    <t xml:space="preserve">Budgeted RS (2) </t>
  </si>
  <si>
    <t>Unbudgeted Healthy Families Initiative RSA</t>
  </si>
  <si>
    <t>Budgeted Career &amp; Technical Education RSA</t>
  </si>
  <si>
    <t>Less: (1) Healthy Families RS</t>
  </si>
  <si>
    <t>FY24 Includes RCs</t>
  </si>
  <si>
    <t>FY2024</t>
  </si>
  <si>
    <t>**PLEASE NOTE FY2024 is a leap year, FY2025 will need to have the formula's adjusted back to a normal year of 365 days**</t>
  </si>
  <si>
    <t>CRC's (Use Monthly Avgs Tab)</t>
  </si>
  <si>
    <t xml:space="preserve">Includes JOIT FY2024 </t>
  </si>
  <si>
    <t>Adjusted/</t>
  </si>
  <si>
    <t xml:space="preserve">Alder Grand Total DOC/ FY24 NO Less Sweep $0. / </t>
  </si>
  <si>
    <t>JSCC</t>
  </si>
  <si>
    <t>Overtime &amp; Incentives</t>
  </si>
  <si>
    <t>Includes JOTI</t>
  </si>
  <si>
    <t>FY24 No Meals/Maint RS AMCC</t>
  </si>
  <si>
    <t>Decreased by Unbud RSA's (No Step C - FY24)</t>
  </si>
  <si>
    <t>JPPD Total EXP less FED Receipts (FY24 No FED Collected)</t>
  </si>
  <si>
    <t>Revised: 09/19/24 lj</t>
  </si>
  <si>
    <t>Actuals COC 2025</t>
  </si>
  <si>
    <t>Updated: 09/19/24 lj</t>
  </si>
  <si>
    <t xml:space="preserve">Misdemeanor 
Male Inmate     </t>
  </si>
  <si>
    <t>Misdemeanor Male 
Unsentenced</t>
  </si>
  <si>
    <t xml:space="preserve">Misdemeanor
 Female Inmate     </t>
  </si>
  <si>
    <t>Misdemeanor 
Female Unsentenced</t>
  </si>
  <si>
    <t xml:space="preserve">Felon 
Female Inmate     </t>
  </si>
  <si>
    <t>Felon 
Female Unsentenced</t>
  </si>
  <si>
    <t xml:space="preserve">ANCHORAGE JAIL        </t>
  </si>
  <si>
    <t xml:space="preserve">ANVIL MTN CC          </t>
  </si>
  <si>
    <t xml:space="preserve">FAIRBANKS CC          </t>
  </si>
  <si>
    <t xml:space="preserve">GOOSE CREEK CC        </t>
  </si>
  <si>
    <t xml:space="preserve">HILAND MTN CC         </t>
  </si>
  <si>
    <t xml:space="preserve">KETCHIKAN CC          </t>
  </si>
  <si>
    <t xml:space="preserve">LEMON CREEK CC        </t>
  </si>
  <si>
    <t xml:space="preserve">MATSU PRETRIAL        </t>
  </si>
  <si>
    <t xml:space="preserve">PALMER-MED CC         </t>
  </si>
  <si>
    <t xml:space="preserve">PALMER-MIN CC         </t>
  </si>
  <si>
    <t xml:space="preserve">PT. MACKENZIE CF      </t>
  </si>
  <si>
    <t xml:space="preserve">SPRING CREEK CC       </t>
  </si>
  <si>
    <t xml:space="preserve">WILDWOOD CC           </t>
  </si>
  <si>
    <t xml:space="preserve">WILDWOOD PRETRIAL     </t>
  </si>
  <si>
    <t xml:space="preserve">YUKON-KUSKOKWIM CC    </t>
  </si>
  <si>
    <t xml:space="preserve">Total INSTITUTION         </t>
  </si>
  <si>
    <t xml:space="preserve">AKEELA HOUSE          </t>
  </si>
  <si>
    <t xml:space="preserve">CORDOVA CTR           </t>
  </si>
  <si>
    <t xml:space="preserve">GLACIER MANOR         </t>
  </si>
  <si>
    <t xml:space="preserve">MIDTOWN CTR - ANCH    </t>
  </si>
  <si>
    <t xml:space="preserve">NORTH STAR CTR        </t>
  </si>
  <si>
    <t xml:space="preserve">PARKVIEW              </t>
  </si>
  <si>
    <t xml:space="preserve">SEASIDE CRC-NOME      </t>
  </si>
  <si>
    <t xml:space="preserve">TUNDRA CTR            </t>
  </si>
  <si>
    <t xml:space="preserve">Total CRC                 </t>
  </si>
  <si>
    <t xml:space="preserve">COLORADO STATE PRISON </t>
  </si>
  <si>
    <t>FEDERAL BUREAU PRISONS</t>
  </si>
  <si>
    <t xml:space="preserve">Total OUT OF STATE        </t>
  </si>
  <si>
    <t xml:space="preserve">ANCHORAGE EM          </t>
  </si>
  <si>
    <t xml:space="preserve">CORDOVA EM            </t>
  </si>
  <si>
    <t xml:space="preserve">EM - ANCHORAGE - ADM  </t>
  </si>
  <si>
    <t xml:space="preserve">EM - ANCHORAGE - APS  </t>
  </si>
  <si>
    <t xml:space="preserve">EM - ANCHORAGE - PPM  </t>
  </si>
  <si>
    <t xml:space="preserve">EM - KENAI - APS      </t>
  </si>
  <si>
    <t xml:space="preserve">EM - KENAI - VMS      </t>
  </si>
  <si>
    <t xml:space="preserve">EM - KODIAK - APS     </t>
  </si>
  <si>
    <t xml:space="preserve">EM - PALMER - APS     </t>
  </si>
  <si>
    <t xml:space="preserve">EM - PALMER - PPM     </t>
  </si>
  <si>
    <t xml:space="preserve">EM AKEELA HOUSE       </t>
  </si>
  <si>
    <t xml:space="preserve">EM CLITHEROE          </t>
  </si>
  <si>
    <t xml:space="preserve">EM MIDTOWN CTR ANCH   </t>
  </si>
  <si>
    <t xml:space="preserve">EM NORTHSTAR CTR      </t>
  </si>
  <si>
    <t xml:space="preserve">EM PARKVIEW           </t>
  </si>
  <si>
    <t xml:space="preserve">FAIRBANKS EM          </t>
  </si>
  <si>
    <t xml:space="preserve">JUNEAU EM             </t>
  </si>
  <si>
    <t xml:space="preserve">KENAI EM              </t>
  </si>
  <si>
    <t xml:space="preserve">KETCHIKAN EM          </t>
  </si>
  <si>
    <t xml:space="preserve">KODIAK EM             </t>
  </si>
  <si>
    <t xml:space="preserve">PALMER EM             </t>
  </si>
  <si>
    <t xml:space="preserve">Total EM </t>
  </si>
  <si>
    <t>DAILY AVERAGE BY INSTITUTION BY SEX BY CRIME DEGREE: FY2024</t>
  </si>
  <si>
    <t>FY24</t>
  </si>
  <si>
    <t xml:space="preserve">Overall Percentage Difference </t>
  </si>
  <si>
    <t>Probation &amp; Parole</t>
  </si>
  <si>
    <t xml:space="preserve">* Average Daily Probationers / Parole Served for Fiscal Year 2024:  </t>
  </si>
  <si>
    <t>JULY 2023 TO JUNE 2024-NUMBER OF PERSONS</t>
  </si>
  <si>
    <t>COC 2025</t>
  </si>
  <si>
    <t>JULY 2023 TO JUNE 2024--NUMBER OF MAN-DAYS</t>
  </si>
  <si>
    <t xml:space="preserve">   FY2024                                                                                                                                               AVERAGE YEAR TO DATE INMATE POPULATION</t>
  </si>
  <si>
    <t>2025 COC</t>
  </si>
  <si>
    <t>Fixed Cost: (BIP $173,758/PBP $ 0.0) @ DPS / JDVP</t>
  </si>
  <si>
    <t>Revised 09/23/24 lj</t>
  </si>
  <si>
    <t>Revised  09/25/24 lj</t>
  </si>
  <si>
    <t>(No) Unbudgeted RS FY24</t>
  </si>
  <si>
    <t>Revised: 10/03/24 lj</t>
  </si>
  <si>
    <t>DAILY COST OF CARE CALCULATIONS</t>
  </si>
  <si>
    <t>******</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</si>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</sst>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0_);\(#,##0.0000\)"/>
    <numFmt numFmtId="165" formatCode="0.000"/>
    <numFmt numFmtId="166" formatCode="_(* #,##0_);_(* \(#,##0\);_(* &quot;-&quot;??_);_(@_)"/>
    <numFmt numFmtId="167" formatCode="_(&quot;$&quot;* #,##0.00_);_(&quot;$&quot;* \(#,##0.00\);_(&quot;$&quot;* &quot;-&quot;_);_(@_)"/>
    <numFmt numFmtId="168" formatCode="0.0000"/>
    <numFmt numFmtId="169" formatCode="_(&quot;$&quot;* #,##0_);_(&quot;$&quot;* \(#,##0\);_(&quot;$&quot;* &quot;-&quot;??_);_(@_)"/>
    <numFmt numFmtId="170" formatCode="&quot;$&quot;#,##0.00"/>
    <numFmt numFmtId="171" formatCode="&quot;$&quot;#,##0"/>
    <numFmt numFmtId="172" formatCode="0.0000%"/>
    <numFmt numFmtId="173" formatCode="_(&quot;$&quot;* #,##0.000_);_(&quot;$&quot;* \(#,##0.000\);_(&quot;$&quot;* &quot;-&quot;???_);_(@_)"/>
    <numFmt numFmtId="174" formatCode="mmmm\ d\,\ yyyy"/>
    <numFmt numFmtId="175" formatCode="0_);\(0\)"/>
  </numFmts>
  <fonts count="11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i/>
      <sz val="10"/>
      <name val="Arial"/>
      <family val="2"/>
    </font>
    <font>
      <b/>
      <sz val="12"/>
      <name val="Arial"/>
      <family val="2"/>
    </font>
    <font>
      <sz val="12"/>
      <name val="Arial"/>
      <family val="2"/>
    </font>
    <font>
      <sz val="9"/>
      <name val="Arial"/>
      <family val="2"/>
    </font>
    <font>
      <sz val="11"/>
      <name val="Arial"/>
      <family val="2"/>
    </font>
    <font>
      <b/>
      <sz val="11"/>
      <name val="Arial"/>
      <family val="2"/>
    </font>
    <font>
      <sz val="8"/>
      <color indexed="81"/>
      <name val="Tahoma"/>
      <family val="2"/>
    </font>
    <font>
      <b/>
      <sz val="8"/>
      <color indexed="81"/>
      <name val="Tahoma"/>
      <family val="2"/>
    </font>
    <font>
      <b/>
      <sz val="9"/>
      <name val="Arial"/>
      <family val="2"/>
    </font>
    <font>
      <b/>
      <sz val="11"/>
      <color indexed="10"/>
      <name val="Arial"/>
      <family val="2"/>
    </font>
    <font>
      <b/>
      <sz val="11"/>
      <color indexed="48"/>
      <name val="Arial"/>
      <family val="2"/>
    </font>
    <font>
      <sz val="11"/>
      <color indexed="48"/>
      <name val="Arial"/>
      <family val="2"/>
    </font>
    <font>
      <b/>
      <sz val="10"/>
      <color indexed="10"/>
      <name val="Arial"/>
      <family val="2"/>
    </font>
    <font>
      <b/>
      <sz val="10"/>
      <color indexed="48"/>
      <name val="Arial"/>
      <family val="2"/>
    </font>
    <font>
      <b/>
      <sz val="11"/>
      <color indexed="12"/>
      <name val="Arial"/>
      <family val="2"/>
    </font>
    <font>
      <sz val="8"/>
      <name val="Arial"/>
      <family val="2"/>
    </font>
    <font>
      <b/>
      <sz val="11"/>
      <color indexed="81"/>
      <name val="Tahoma"/>
      <family val="2"/>
    </font>
    <font>
      <sz val="11"/>
      <color indexed="81"/>
      <name val="Tahoma"/>
      <family val="2"/>
    </font>
    <font>
      <b/>
      <i/>
      <sz val="10"/>
      <name val="Arial"/>
      <family val="2"/>
    </font>
    <font>
      <sz val="10"/>
      <name val="Arial"/>
      <family val="2"/>
    </font>
    <font>
      <sz val="11"/>
      <color indexed="8"/>
      <name val="Calibri"/>
      <family val="2"/>
    </font>
    <font>
      <i/>
      <sz val="8"/>
      <name val="Arial"/>
      <family val="2"/>
    </font>
    <font>
      <u/>
      <sz val="10"/>
      <color indexed="60"/>
      <name val="Arial"/>
      <family val="2"/>
    </font>
    <font>
      <sz val="9"/>
      <color indexed="81"/>
      <name val="Tahoma"/>
      <family val="2"/>
    </font>
    <font>
      <b/>
      <sz val="9"/>
      <color indexed="81"/>
      <name val="Tahoma"/>
      <family val="2"/>
    </font>
    <font>
      <u/>
      <sz val="8"/>
      <color indexed="81"/>
      <name val="Tahoma"/>
      <family val="2"/>
    </font>
    <font>
      <b/>
      <u/>
      <sz val="8"/>
      <color indexed="81"/>
      <name val="Tahoma"/>
      <family val="2"/>
    </font>
    <font>
      <b/>
      <sz val="10"/>
      <name val="Calibri"/>
      <family val="2"/>
    </font>
    <font>
      <b/>
      <i/>
      <sz val="10"/>
      <name val="Calibri"/>
      <family val="2"/>
    </font>
    <font>
      <b/>
      <sz val="10"/>
      <name val="Arial"/>
      <family val="2"/>
    </font>
    <font>
      <sz val="11"/>
      <color indexed="8"/>
      <name val="Calibri"/>
      <family val="2"/>
    </font>
    <font>
      <b/>
      <sz val="11"/>
      <color indexed="8"/>
      <name val="Calibri"/>
      <family val="2"/>
    </font>
    <font>
      <sz val="10"/>
      <name val="Calibri"/>
      <family val="2"/>
    </font>
    <font>
      <b/>
      <sz val="12"/>
      <name val="Calibri"/>
      <family val="2"/>
    </font>
    <font>
      <sz val="12"/>
      <name val="Calibri"/>
      <family val="2"/>
    </font>
    <font>
      <sz val="11"/>
      <name val="Calibri"/>
      <family val="2"/>
    </font>
    <font>
      <b/>
      <sz val="11"/>
      <name val="Calibri"/>
      <family val="2"/>
    </font>
    <font>
      <i/>
      <sz val="11"/>
      <name val="Calibri"/>
      <family val="2"/>
    </font>
    <font>
      <u/>
      <sz val="12"/>
      <name val="Calibri"/>
      <family val="2"/>
    </font>
    <font>
      <i/>
      <sz val="10"/>
      <name val="Calibri"/>
      <family val="2"/>
    </font>
    <font>
      <b/>
      <sz val="10"/>
      <name val="Calibri"/>
      <family val="2"/>
    </font>
    <font>
      <i/>
      <sz val="12"/>
      <name val="Calibri"/>
      <family val="2"/>
    </font>
    <font>
      <i/>
      <sz val="8"/>
      <name val="Calibri"/>
      <family val="2"/>
    </font>
    <font>
      <b/>
      <i/>
      <sz val="12"/>
      <name val="Calibri"/>
      <family val="2"/>
    </font>
    <font>
      <b/>
      <sz val="8"/>
      <name val="Calibri"/>
      <family val="2"/>
    </font>
    <font>
      <b/>
      <sz val="11"/>
      <color indexed="8"/>
      <name val="Calibri"/>
      <family val="2"/>
    </font>
    <font>
      <b/>
      <i/>
      <sz val="11"/>
      <name val="Calibri"/>
      <family val="2"/>
    </font>
    <font>
      <b/>
      <i/>
      <sz val="10"/>
      <name val="Calibri"/>
      <family val="2"/>
    </font>
    <font>
      <b/>
      <i/>
      <sz val="8"/>
      <name val="Calibri"/>
      <family val="2"/>
    </font>
    <font>
      <sz val="8"/>
      <name val="Calibri"/>
      <family val="2"/>
    </font>
    <font>
      <b/>
      <i/>
      <sz val="14"/>
      <name val="Calibri"/>
      <family val="2"/>
    </font>
    <font>
      <i/>
      <sz val="14"/>
      <name val="Calibri"/>
      <family val="2"/>
    </font>
    <font>
      <sz val="10"/>
      <color indexed="8"/>
      <name val="Calibri"/>
      <family val="2"/>
    </font>
    <font>
      <b/>
      <sz val="10"/>
      <color indexed="8"/>
      <name val="Calibri"/>
      <family val="2"/>
    </font>
    <font>
      <b/>
      <i/>
      <sz val="9"/>
      <name val="Calibri"/>
      <family val="2"/>
    </font>
    <font>
      <sz val="9"/>
      <name val="Calibri"/>
      <family val="2"/>
    </font>
    <font>
      <sz val="10"/>
      <color indexed="10"/>
      <name val="Calibri"/>
      <family val="2"/>
    </font>
    <font>
      <sz val="8"/>
      <name val="Arial"/>
      <family val="2"/>
    </font>
    <font>
      <u/>
      <sz val="10"/>
      <name val="Arial"/>
      <family val="2"/>
    </font>
    <font>
      <sz val="10"/>
      <color indexed="8"/>
      <name val="Arial"/>
      <family val="2"/>
    </font>
    <font>
      <sz val="8"/>
      <name val="Arial"/>
      <family val="2"/>
    </font>
    <font>
      <b/>
      <i/>
      <sz val="12"/>
      <name val="Arial"/>
      <family val="2"/>
    </font>
    <font>
      <b/>
      <sz val="7"/>
      <color indexed="4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i/>
      <sz val="11"/>
      <color theme="1"/>
      <name val="Calibri"/>
      <family val="2"/>
      <scheme val="minor"/>
    </font>
    <font>
      <sz val="10"/>
      <color rgb="FF000000"/>
      <name val="Arial"/>
      <family val="2"/>
    </font>
    <font>
      <sz val="10"/>
      <color rgb="FF000000"/>
      <name val="Arial"/>
      <family val="2"/>
    </font>
    <font>
      <sz val="10"/>
      <color indexed="62"/>
      <name val="Arial"/>
      <family val="2"/>
    </font>
    <font>
      <b/>
      <sz val="10"/>
      <color rgb="FF000000"/>
      <name val="Arial"/>
      <family val="2"/>
    </font>
    <font>
      <sz val="10"/>
      <color rgb="FFFF0000"/>
      <name val="Arial"/>
      <family val="2"/>
    </font>
    <font>
      <i/>
      <sz val="10"/>
      <color rgb="FF000000"/>
      <name val="Arial"/>
      <family val="2"/>
    </font>
    <font>
      <i/>
      <sz val="9"/>
      <name val="Arial"/>
      <family val="2"/>
    </font>
    <font>
      <b/>
      <i/>
      <sz val="9"/>
      <color indexed="81"/>
      <name val="Tahoma"/>
      <family val="2"/>
    </font>
    <font>
      <i/>
      <sz val="9"/>
      <name val="Calibri"/>
      <family val="2"/>
    </font>
    <font>
      <b/>
      <i/>
      <u/>
      <sz val="8"/>
      <color indexed="81"/>
      <name val="Tahoma"/>
      <family val="2"/>
    </font>
    <font>
      <i/>
      <sz val="10"/>
      <color rgb="FFFF0000"/>
      <name val="Arial"/>
      <family val="2"/>
    </font>
    <font>
      <b/>
      <i/>
      <u/>
      <sz val="10"/>
      <name val="Calibri"/>
      <family val="2"/>
    </font>
    <font>
      <b/>
      <i/>
      <sz val="11"/>
      <name val="Arial"/>
      <family val="2"/>
    </font>
    <font>
      <i/>
      <sz val="10"/>
      <color indexed="62"/>
      <name val="Arial"/>
      <family val="2"/>
    </font>
    <font>
      <b/>
      <sz val="10"/>
      <color theme="1"/>
      <name val="Calibri"/>
      <family val="2"/>
      <scheme val="minor"/>
    </font>
    <font>
      <sz val="12"/>
      <color rgb="FFFF0000"/>
      <name val="Calibri"/>
      <family val="2"/>
    </font>
    <font>
      <i/>
      <sz val="9"/>
      <color indexed="8"/>
      <name val="Calibri"/>
      <family val="2"/>
    </font>
    <font>
      <sz val="10"/>
      <color indexed="10"/>
      <name val="Arial"/>
      <family val="2"/>
    </font>
    <font>
      <b/>
      <i/>
      <sz val="12"/>
      <name val="Calibri"/>
      <family val="2"/>
      <scheme val="minor"/>
    </font>
    <font>
      <sz val="12"/>
      <name val="Calibri"/>
      <family val="2"/>
      <scheme val="minor"/>
    </font>
    <font>
      <i/>
      <sz val="12"/>
      <name val="Calibri"/>
      <family val="2"/>
      <scheme val="minor"/>
    </font>
    <font>
      <b/>
      <sz val="12"/>
      <name val="Calibri"/>
      <family val="2"/>
      <scheme val="minor"/>
    </font>
    <font>
      <b/>
      <i/>
      <sz val="11"/>
      <name val="Calibri"/>
      <family val="2"/>
      <scheme val="minor"/>
    </font>
    <font>
      <i/>
      <sz val="8"/>
      <name val="Calibri"/>
      <family val="2"/>
      <scheme val="minor"/>
    </font>
    <font>
      <sz val="10"/>
      <color rgb="FF7030A0"/>
      <name val="Arial"/>
      <family val="2"/>
    </font>
    <font>
      <sz val="10"/>
      <color rgb="FFFF0000"/>
      <name val="Calibri"/>
      <family val="2"/>
    </font>
    <font>
      <i/>
      <sz val="11"/>
      <name val="Arial"/>
      <family val="2"/>
    </font>
  </fonts>
  <fills count="54">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18"/>
        <bgColor indexed="64"/>
      </patternFill>
    </fill>
    <fill>
      <patternFill patternType="solid">
        <fgColor indexed="4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7"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rgb="FFFFFFCC"/>
        <bgColor indexed="64"/>
      </patternFill>
    </fill>
    <fill>
      <patternFill patternType="solid">
        <fgColor theme="8" tint="0.59999389629810485"/>
        <bgColor indexed="64"/>
      </patternFill>
    </fill>
    <fill>
      <patternFill patternType="solid">
        <fgColor indexed="11"/>
        <bgColor indexed="64"/>
      </patternFill>
    </fill>
    <fill>
      <patternFill patternType="solid">
        <fgColor rgb="FFCCCCFF"/>
        <bgColor indexed="64"/>
      </patternFill>
    </fill>
    <fill>
      <patternFill patternType="solid">
        <fgColor rgb="FFFFCCFF"/>
        <bgColor indexed="64"/>
      </patternFill>
    </fill>
    <fill>
      <patternFill patternType="solid">
        <fgColor theme="3" tint="0.59999389629810485"/>
        <bgColor indexed="64"/>
      </patternFill>
    </fill>
  </fills>
  <borders count="1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double">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double">
        <color indexed="64"/>
      </bottom>
      <diagonal/>
    </border>
    <border>
      <left/>
      <right/>
      <top style="double">
        <color indexed="64"/>
      </top>
      <bottom/>
      <diagonal/>
    </border>
    <border>
      <left style="thin">
        <color indexed="64"/>
      </left>
      <right/>
      <top/>
      <bottom/>
      <diagonal/>
    </border>
    <border>
      <left/>
      <right style="thin">
        <color indexed="64"/>
      </right>
      <top/>
      <bottom/>
      <diagonal/>
    </border>
    <border>
      <left/>
      <right style="thin">
        <color indexed="64"/>
      </right>
      <top style="medium">
        <color indexed="64"/>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top style="thin">
        <color indexed="64"/>
      </top>
      <bottom/>
      <diagonal/>
    </border>
    <border>
      <left style="thin">
        <color indexed="64"/>
      </left>
      <right/>
      <top/>
      <bottom style="double">
        <color indexed="64"/>
      </bottom>
      <diagonal/>
    </border>
    <border>
      <left/>
      <right/>
      <top style="medium">
        <color indexed="64"/>
      </top>
      <bottom style="double">
        <color indexed="64"/>
      </bottom>
      <diagonal/>
    </border>
    <border>
      <left/>
      <right/>
      <top style="double">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medium">
        <color indexed="64"/>
      </top>
      <bottom style="double">
        <color indexed="64"/>
      </bottom>
      <diagonal/>
    </border>
    <border>
      <left/>
      <right/>
      <top/>
      <bottom style="double">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double">
        <color indexed="64"/>
      </top>
      <bottom style="medium">
        <color indexed="64"/>
      </bottom>
      <diagonal/>
    </border>
    <border>
      <left style="thin">
        <color indexed="64"/>
      </left>
      <right style="medium">
        <color indexed="64"/>
      </right>
      <top style="thin">
        <color indexed="64"/>
      </top>
      <bottom/>
      <diagonal/>
    </border>
    <border>
      <left style="double">
        <color indexed="64"/>
      </left>
      <right style="thin">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medium">
        <color indexed="64"/>
      </top>
      <bottom style="medium">
        <color indexed="64"/>
      </bottom>
      <diagonal/>
    </border>
    <border>
      <left/>
      <right style="double">
        <color indexed="64"/>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8"/>
      </left>
      <right/>
      <top style="thin">
        <color indexed="8"/>
      </top>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64"/>
      </right>
      <top style="double">
        <color indexed="64"/>
      </top>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auto="1"/>
      </top>
      <bottom style="thin">
        <color indexed="64"/>
      </bottom>
      <diagonal/>
    </border>
  </borders>
  <cellStyleXfs count="154">
    <xf numFmtId="0" fontId="0" fillId="0" borderId="0"/>
    <xf numFmtId="0" fontId="70" fillId="7" borderId="0" applyNumberFormat="0" applyBorder="0" applyAlignment="0" applyProtection="0"/>
    <xf numFmtId="0" fontId="70" fillId="8" borderId="0" applyNumberFormat="0" applyBorder="0" applyAlignment="0" applyProtection="0"/>
    <xf numFmtId="0" fontId="70" fillId="9" borderId="0" applyNumberFormat="0" applyBorder="0" applyAlignment="0" applyProtection="0"/>
    <xf numFmtId="0" fontId="70" fillId="10" borderId="0" applyNumberFormat="0" applyBorder="0" applyAlignment="0" applyProtection="0"/>
    <xf numFmtId="0" fontId="70" fillId="11" borderId="0" applyNumberFormat="0" applyBorder="0" applyAlignment="0" applyProtection="0"/>
    <xf numFmtId="0" fontId="70" fillId="12" borderId="0" applyNumberFormat="0" applyBorder="0" applyAlignment="0" applyProtection="0"/>
    <xf numFmtId="0" fontId="70" fillId="13" borderId="0" applyNumberFormat="0" applyBorder="0" applyAlignment="0" applyProtection="0"/>
    <xf numFmtId="0" fontId="70" fillId="14" borderId="0" applyNumberFormat="0" applyBorder="0" applyAlignment="0" applyProtection="0"/>
    <xf numFmtId="0" fontId="70" fillId="15" borderId="0" applyNumberFormat="0" applyBorder="0" applyAlignment="0" applyProtection="0"/>
    <xf numFmtId="0" fontId="70" fillId="16" borderId="0" applyNumberFormat="0" applyBorder="0" applyAlignment="0" applyProtection="0"/>
    <xf numFmtId="0" fontId="70" fillId="17" borderId="0" applyNumberFormat="0" applyBorder="0" applyAlignment="0" applyProtection="0"/>
    <xf numFmtId="0" fontId="70" fillId="18" borderId="0" applyNumberFormat="0" applyBorder="0" applyAlignment="0" applyProtection="0"/>
    <xf numFmtId="0" fontId="71" fillId="19" borderId="0" applyNumberFormat="0" applyBorder="0" applyAlignment="0" applyProtection="0"/>
    <xf numFmtId="0" fontId="71" fillId="20" borderId="0" applyNumberFormat="0" applyBorder="0" applyAlignment="0" applyProtection="0"/>
    <xf numFmtId="0" fontId="71" fillId="21" borderId="0" applyNumberFormat="0" applyBorder="0" applyAlignment="0" applyProtection="0"/>
    <xf numFmtId="0" fontId="71" fillId="22" borderId="0" applyNumberFormat="0" applyBorder="0" applyAlignment="0" applyProtection="0"/>
    <xf numFmtId="0" fontId="71" fillId="23" borderId="0" applyNumberFormat="0" applyBorder="0" applyAlignment="0" applyProtection="0"/>
    <xf numFmtId="0" fontId="71" fillId="24" borderId="0" applyNumberFormat="0" applyBorder="0" applyAlignment="0" applyProtection="0"/>
    <xf numFmtId="0" fontId="71" fillId="25" borderId="0" applyNumberFormat="0" applyBorder="0" applyAlignment="0" applyProtection="0"/>
    <xf numFmtId="0" fontId="71" fillId="26" borderId="0" applyNumberFormat="0" applyBorder="0" applyAlignment="0" applyProtection="0"/>
    <xf numFmtId="0" fontId="71" fillId="27" borderId="0" applyNumberFormat="0" applyBorder="0" applyAlignment="0" applyProtection="0"/>
    <xf numFmtId="0" fontId="71" fillId="28" borderId="0" applyNumberFormat="0" applyBorder="0" applyAlignment="0" applyProtection="0"/>
    <xf numFmtId="0" fontId="71" fillId="29" borderId="0" applyNumberFormat="0" applyBorder="0" applyAlignment="0" applyProtection="0"/>
    <xf numFmtId="0" fontId="71" fillId="30" borderId="0" applyNumberFormat="0" applyBorder="0" applyAlignment="0" applyProtection="0"/>
    <xf numFmtId="0" fontId="72" fillId="31" borderId="0" applyNumberFormat="0" applyBorder="0" applyAlignment="0" applyProtection="0"/>
    <xf numFmtId="0" fontId="73" fillId="32" borderId="89" applyNumberFormat="0" applyAlignment="0" applyProtection="0"/>
    <xf numFmtId="0" fontId="74" fillId="33" borderId="90" applyNumberFormat="0" applyAlignment="0" applyProtection="0"/>
    <xf numFmtId="43" fontId="6"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4" fontId="27" fillId="0" borderId="0" applyFont="0" applyFill="0" applyBorder="0" applyAlignment="0" applyProtection="0"/>
    <xf numFmtId="0" fontId="75" fillId="0" borderId="0" applyNumberFormat="0" applyFill="0" applyBorder="0" applyAlignment="0" applyProtection="0"/>
    <xf numFmtId="0" fontId="76" fillId="34" borderId="0" applyNumberFormat="0" applyBorder="0" applyAlignment="0" applyProtection="0"/>
    <xf numFmtId="0" fontId="77" fillId="0" borderId="91" applyNumberFormat="0" applyFill="0" applyAlignment="0" applyProtection="0"/>
    <xf numFmtId="0" fontId="78" fillId="0" borderId="92" applyNumberFormat="0" applyFill="0" applyAlignment="0" applyProtection="0"/>
    <xf numFmtId="0" fontId="79" fillId="0" borderId="93" applyNumberFormat="0" applyFill="0" applyAlignment="0" applyProtection="0"/>
    <xf numFmtId="0" fontId="79" fillId="0" borderId="0" applyNumberFormat="0" applyFill="0" applyBorder="0" applyAlignment="0" applyProtection="0"/>
    <xf numFmtId="0" fontId="80" fillId="35" borderId="89" applyNumberFormat="0" applyAlignment="0" applyProtection="0"/>
    <xf numFmtId="0" fontId="81" fillId="0" borderId="94" applyNumberFormat="0" applyFill="0" applyAlignment="0" applyProtection="0"/>
    <xf numFmtId="0" fontId="82" fillId="36" borderId="0" applyNumberFormat="0" applyBorder="0" applyAlignment="0" applyProtection="0"/>
    <xf numFmtId="0" fontId="70" fillId="0" borderId="0"/>
    <xf numFmtId="0" fontId="26" fillId="0" borderId="0"/>
    <xf numFmtId="0" fontId="6" fillId="0" borderId="0"/>
    <xf numFmtId="0" fontId="6" fillId="0" borderId="0"/>
    <xf numFmtId="0" fontId="27" fillId="0" borderId="0"/>
    <xf numFmtId="0" fontId="6" fillId="0" borderId="0"/>
    <xf numFmtId="0" fontId="6" fillId="0" borderId="0"/>
    <xf numFmtId="0" fontId="6" fillId="0" borderId="0">
      <alignment wrapText="1"/>
    </xf>
    <xf numFmtId="0" fontId="6" fillId="0" borderId="0">
      <alignment wrapText="1"/>
    </xf>
    <xf numFmtId="0" fontId="6" fillId="0" borderId="0">
      <alignment wrapText="1"/>
    </xf>
    <xf numFmtId="0" fontId="27" fillId="37" borderId="95" applyNumberFormat="0" applyFont="0" applyAlignment="0" applyProtection="0"/>
    <xf numFmtId="0" fontId="37" fillId="37" borderId="95" applyNumberFormat="0" applyFont="0" applyAlignment="0" applyProtection="0"/>
    <xf numFmtId="0" fontId="27" fillId="37" borderId="95" applyNumberFormat="0" applyFont="0" applyAlignment="0" applyProtection="0"/>
    <xf numFmtId="0" fontId="83" fillId="32" borderId="96" applyNumberFormat="0" applyAlignment="0" applyProtection="0"/>
    <xf numFmtId="0" fontId="84" fillId="0" borderId="0" applyNumberFormat="0" applyFill="0" applyBorder="0" applyAlignment="0" applyProtection="0"/>
    <xf numFmtId="0" fontId="85" fillId="0" borderId="97" applyNumberFormat="0" applyFill="0" applyAlignment="0" applyProtection="0"/>
    <xf numFmtId="0" fontId="86" fillId="0" borderId="0" applyNumberFormat="0" applyFill="0" applyBorder="0" applyAlignment="0" applyProtection="0"/>
    <xf numFmtId="0" fontId="88" fillId="0" borderId="0"/>
    <xf numFmtId="43" fontId="88" fillId="0" borderId="0" applyFont="0" applyFill="0" applyBorder="0" applyAlignment="0" applyProtection="0"/>
    <xf numFmtId="44" fontId="88" fillId="0" borderId="0" applyFont="0" applyFill="0" applyBorder="0" applyAlignment="0" applyProtection="0"/>
    <xf numFmtId="0" fontId="88" fillId="0" borderId="0"/>
    <xf numFmtId="0" fontId="88" fillId="0" borderId="0"/>
    <xf numFmtId="0" fontId="89" fillId="0" borderId="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0" borderId="0"/>
    <xf numFmtId="0" fontId="3" fillId="0" borderId="0"/>
    <xf numFmtId="0" fontId="3" fillId="0" borderId="0"/>
    <xf numFmtId="0" fontId="3" fillId="0" borderId="0"/>
    <xf numFmtId="0" fontId="3" fillId="37" borderId="95" applyNumberFormat="0" applyFont="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9" borderId="0" applyNumberFormat="0" applyBorder="0" applyAlignment="0" applyProtection="0"/>
    <xf numFmtId="0" fontId="3" fillId="15" borderId="0" applyNumberFormat="0" applyBorder="0" applyAlignment="0" applyProtection="0"/>
    <xf numFmtId="0" fontId="3" fillId="10" borderId="0" applyNumberFormat="0" applyBorder="0" applyAlignment="0" applyProtection="0"/>
    <xf numFmtId="0" fontId="3" fillId="16" borderId="0" applyNumberFormat="0" applyBorder="0" applyAlignment="0" applyProtection="0"/>
    <xf numFmtId="0" fontId="3" fillId="11" borderId="0" applyNumberFormat="0" applyBorder="0" applyAlignment="0" applyProtection="0"/>
    <xf numFmtId="0" fontId="3" fillId="17" borderId="0" applyNumberFormat="0" applyBorder="0" applyAlignment="0" applyProtection="0"/>
    <xf numFmtId="0" fontId="3" fillId="12" borderId="0" applyNumberFormat="0" applyBorder="0" applyAlignment="0" applyProtection="0"/>
    <xf numFmtId="0" fontId="3" fillId="18" borderId="0" applyNumberFormat="0" applyBorder="0" applyAlignment="0" applyProtection="0"/>
    <xf numFmtId="43" fontId="3" fillId="0" borderId="0" applyFont="0" applyFill="0" applyBorder="0" applyAlignment="0" applyProtection="0"/>
    <xf numFmtId="0" fontId="6" fillId="0" borderId="0"/>
    <xf numFmtId="43" fontId="6" fillId="0" borderId="0" applyFont="0" applyFill="0" applyBorder="0" applyAlignment="0" applyProtection="0"/>
    <xf numFmtId="44" fontId="6" fillId="0" borderId="0" applyFont="0" applyFill="0" applyBorder="0" applyAlignment="0" applyProtection="0"/>
    <xf numFmtId="0" fontId="3" fillId="0" borderId="0"/>
    <xf numFmtId="0" fontId="88" fillId="0" borderId="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0" borderId="0"/>
    <xf numFmtId="0" fontId="2"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0" borderId="0"/>
    <xf numFmtId="0" fontId="1" fillId="0" borderId="0"/>
  </cellStyleXfs>
  <cellXfs count="1053">
    <xf numFmtId="0" fontId="0" fillId="0" borderId="0" xfId="0"/>
    <xf numFmtId="0" fontId="0" fillId="0" borderId="1" xfId="0" applyBorder="1"/>
    <xf numFmtId="0" fontId="5" fillId="0" borderId="2" xfId="0" applyFont="1" applyBorder="1" applyAlignment="1">
      <alignment horizontal="center" vertical="center"/>
    </xf>
    <xf numFmtId="1" fontId="9" fillId="0" borderId="1" xfId="0" applyNumberFormat="1" applyFont="1" applyBorder="1" applyAlignment="1">
      <alignment horizontal="center"/>
    </xf>
    <xf numFmtId="41" fontId="9" fillId="0" borderId="1" xfId="0" applyNumberFormat="1" applyFont="1" applyBorder="1" applyAlignment="1">
      <alignment horizontal="center"/>
    </xf>
    <xf numFmtId="3" fontId="9" fillId="0" borderId="1" xfId="0" applyNumberFormat="1" applyFont="1" applyBorder="1" applyAlignment="1">
      <alignment horizontal="center"/>
    </xf>
    <xf numFmtId="0" fontId="8" fillId="0" borderId="0" xfId="0" applyFont="1" applyAlignment="1">
      <alignment vertical="top"/>
    </xf>
    <xf numFmtId="0" fontId="10" fillId="0" borderId="0" xfId="0" applyFont="1"/>
    <xf numFmtId="0" fontId="11" fillId="0" borderId="0" xfId="0" applyFont="1"/>
    <xf numFmtId="0" fontId="0" fillId="0" borderId="2" xfId="0" applyBorder="1"/>
    <xf numFmtId="0" fontId="0" fillId="0" borderId="3" xfId="0" applyBorder="1"/>
    <xf numFmtId="4" fontId="0" fillId="0" borderId="1" xfId="0" applyNumberFormat="1" applyBorder="1"/>
    <xf numFmtId="3" fontId="0" fillId="0" borderId="1" xfId="0" applyNumberFormat="1" applyBorder="1"/>
    <xf numFmtId="170" fontId="0" fillId="0" borderId="1" xfId="0" applyNumberFormat="1" applyBorder="1"/>
    <xf numFmtId="4" fontId="0" fillId="0" borderId="8" xfId="0" applyNumberFormat="1" applyBorder="1"/>
    <xf numFmtId="4" fontId="0" fillId="0" borderId="2" xfId="0" applyNumberFormat="1" applyBorder="1"/>
    <xf numFmtId="3" fontId="0" fillId="0" borderId="2" xfId="0" applyNumberFormat="1" applyBorder="1"/>
    <xf numFmtId="4" fontId="0" fillId="0" borderId="3" xfId="0" applyNumberFormat="1" applyBorder="1"/>
    <xf numFmtId="3" fontId="0" fillId="0" borderId="3" xfId="0" applyNumberFormat="1" applyBorder="1"/>
    <xf numFmtId="170" fontId="0" fillId="0" borderId="3" xfId="0" applyNumberFormat="1" applyBorder="1"/>
    <xf numFmtId="0" fontId="0" fillId="0" borderId="10" xfId="0" applyBorder="1"/>
    <xf numFmtId="17" fontId="9" fillId="0" borderId="13" xfId="0" applyNumberFormat="1" applyFont="1" applyBorder="1" applyAlignment="1">
      <alignment horizontal="left"/>
    </xf>
    <xf numFmtId="17" fontId="8" fillId="0" borderId="14" xfId="0" applyNumberFormat="1" applyFont="1" applyBorder="1" applyAlignment="1">
      <alignment horizontal="center"/>
    </xf>
    <xf numFmtId="0" fontId="8" fillId="0" borderId="14" xfId="0" applyFont="1" applyBorder="1" applyAlignment="1">
      <alignment horizontal="center"/>
    </xf>
    <xf numFmtId="0" fontId="8" fillId="0" borderId="14" xfId="0" applyFont="1" applyBorder="1"/>
    <xf numFmtId="0" fontId="15" fillId="0" borderId="17" xfId="0" applyFont="1" applyBorder="1" applyAlignment="1">
      <alignment horizontal="center"/>
    </xf>
    <xf numFmtId="0" fontId="15" fillId="0" borderId="18" xfId="0" applyFont="1" applyBorder="1" applyAlignment="1">
      <alignment horizontal="center"/>
    </xf>
    <xf numFmtId="0" fontId="10" fillId="0" borderId="19" xfId="0" applyFont="1" applyBorder="1" applyAlignment="1">
      <alignment horizontal="center"/>
    </xf>
    <xf numFmtId="17" fontId="12" fillId="0" borderId="20" xfId="0" applyNumberFormat="1" applyFont="1" applyBorder="1" applyAlignment="1">
      <alignment horizontal="center"/>
    </xf>
    <xf numFmtId="0" fontId="11" fillId="0" borderId="21" xfId="0" applyFont="1" applyBorder="1" applyAlignment="1">
      <alignment horizontal="left"/>
    </xf>
    <xf numFmtId="17" fontId="11" fillId="0" borderId="22" xfId="0" applyNumberFormat="1" applyFont="1" applyBorder="1" applyAlignment="1">
      <alignment horizontal="left"/>
    </xf>
    <xf numFmtId="17" fontId="11" fillId="0" borderId="23" xfId="0" applyNumberFormat="1" applyFont="1" applyBorder="1" applyAlignment="1">
      <alignment horizontal="left"/>
    </xf>
    <xf numFmtId="17" fontId="12" fillId="0" borderId="23" xfId="0" applyNumberFormat="1" applyFont="1" applyBorder="1" applyAlignment="1">
      <alignment horizontal="left"/>
    </xf>
    <xf numFmtId="0" fontId="12" fillId="0" borderId="20" xfId="0" applyFont="1" applyBorder="1" applyAlignment="1">
      <alignment horizontal="center"/>
    </xf>
    <xf numFmtId="0" fontId="12" fillId="0" borderId="20" xfId="0" applyFont="1" applyBorder="1"/>
    <xf numFmtId="0" fontId="12" fillId="0" borderId="7" xfId="0" applyFont="1" applyBorder="1"/>
    <xf numFmtId="0" fontId="12" fillId="0" borderId="25" xfId="0" applyFont="1" applyBorder="1" applyAlignment="1">
      <alignment horizontal="center"/>
    </xf>
    <xf numFmtId="0" fontId="12" fillId="0" borderId="26" xfId="0" applyFont="1" applyBorder="1" applyAlignment="1">
      <alignment horizontal="center"/>
    </xf>
    <xf numFmtId="17" fontId="12" fillId="0" borderId="24" xfId="0" applyNumberFormat="1" applyFont="1" applyBorder="1" applyAlignment="1">
      <alignment horizontal="center"/>
    </xf>
    <xf numFmtId="17" fontId="12" fillId="0" borderId="27" xfId="0" applyNumberFormat="1" applyFont="1" applyBorder="1" applyAlignment="1">
      <alignment horizontal="center"/>
    </xf>
    <xf numFmtId="3" fontId="17" fillId="0" borderId="28" xfId="0" applyNumberFormat="1" applyFont="1" applyBorder="1" applyAlignment="1">
      <alignment horizontal="center"/>
    </xf>
    <xf numFmtId="3" fontId="11" fillId="0" borderId="28" xfId="0" applyNumberFormat="1" applyFont="1" applyBorder="1" applyAlignment="1">
      <alignment horizontal="center"/>
    </xf>
    <xf numFmtId="3" fontId="12" fillId="0" borderId="28" xfId="0" applyNumberFormat="1" applyFont="1" applyBorder="1" applyAlignment="1">
      <alignment horizontal="center"/>
    </xf>
    <xf numFmtId="3" fontId="17" fillId="0" borderId="30" xfId="0" applyNumberFormat="1" applyFont="1" applyBorder="1" applyAlignment="1">
      <alignment horizontal="center"/>
    </xf>
    <xf numFmtId="3" fontId="16" fillId="0" borderId="11" xfId="0" applyNumberFormat="1" applyFont="1" applyBorder="1" applyAlignment="1">
      <alignment horizontal="center"/>
    </xf>
    <xf numFmtId="3" fontId="12" fillId="0" borderId="11" xfId="0" applyNumberFormat="1" applyFont="1" applyBorder="1" applyAlignment="1">
      <alignment horizontal="center"/>
    </xf>
    <xf numFmtId="4" fontId="11" fillId="0" borderId="6" xfId="0" applyNumberFormat="1" applyFont="1" applyBorder="1"/>
    <xf numFmtId="4" fontId="11" fillId="0" borderId="31" xfId="0" applyNumberFormat="1" applyFont="1" applyBorder="1"/>
    <xf numFmtId="4" fontId="11" fillId="0" borderId="14" xfId="0" applyNumberFormat="1" applyFont="1" applyBorder="1"/>
    <xf numFmtId="3" fontId="11" fillId="0" borderId="1" xfId="0" applyNumberFormat="1" applyFont="1" applyBorder="1" applyAlignment="1">
      <alignment horizontal="center"/>
    </xf>
    <xf numFmtId="3" fontId="11" fillId="0" borderId="5" xfId="0" applyNumberFormat="1" applyFont="1" applyBorder="1" applyAlignment="1">
      <alignment horizontal="center"/>
    </xf>
    <xf numFmtId="3" fontId="12" fillId="0" borderId="6" xfId="0" applyNumberFormat="1" applyFont="1" applyBorder="1" applyAlignment="1">
      <alignment horizontal="center"/>
    </xf>
    <xf numFmtId="3" fontId="12" fillId="0" borderId="31" xfId="0" applyNumberFormat="1" applyFont="1" applyBorder="1" applyAlignment="1">
      <alignment horizontal="center"/>
    </xf>
    <xf numFmtId="1" fontId="11" fillId="0" borderId="19" xfId="0" applyNumberFormat="1" applyFont="1" applyBorder="1" applyAlignment="1">
      <alignment horizontal="center"/>
    </xf>
    <xf numFmtId="1" fontId="11" fillId="0" borderId="3" xfId="0" applyNumberFormat="1" applyFont="1" applyBorder="1" applyAlignment="1">
      <alignment horizontal="center"/>
    </xf>
    <xf numFmtId="1" fontId="11" fillId="0" borderId="1" xfId="0" applyNumberFormat="1" applyFont="1" applyBorder="1" applyAlignment="1">
      <alignment horizontal="center"/>
    </xf>
    <xf numFmtId="1" fontId="11" fillId="0" borderId="4" xfId="0" applyNumberFormat="1" applyFont="1" applyBorder="1" applyAlignment="1">
      <alignment horizontal="center"/>
    </xf>
    <xf numFmtId="1" fontId="11" fillId="0" borderId="5" xfId="0" applyNumberFormat="1" applyFont="1" applyBorder="1" applyAlignment="1">
      <alignment horizontal="center"/>
    </xf>
    <xf numFmtId="0" fontId="11" fillId="0" borderId="16" xfId="0" applyFont="1" applyBorder="1"/>
    <xf numFmtId="3" fontId="12" fillId="0" borderId="14" xfId="0" applyNumberFormat="1" applyFont="1" applyBorder="1" applyAlignment="1">
      <alignment horizontal="center"/>
    </xf>
    <xf numFmtId="3" fontId="11" fillId="0" borderId="37" xfId="0" applyNumberFormat="1" applyFont="1" applyBorder="1" applyAlignment="1">
      <alignment horizontal="center" wrapText="1"/>
    </xf>
    <xf numFmtId="4" fontId="18" fillId="0" borderId="6" xfId="0" applyNumberFormat="1" applyFont="1" applyBorder="1"/>
    <xf numFmtId="4" fontId="12" fillId="0" borderId="6" xfId="0" applyNumberFormat="1" applyFont="1" applyBorder="1"/>
    <xf numFmtId="3" fontId="17" fillId="0" borderId="11" xfId="0" applyNumberFormat="1" applyFont="1" applyBorder="1" applyAlignment="1">
      <alignment horizontal="center"/>
    </xf>
    <xf numFmtId="3" fontId="16" fillId="0" borderId="36" xfId="0" applyNumberFormat="1" applyFont="1" applyBorder="1" applyAlignment="1">
      <alignment horizontal="center"/>
    </xf>
    <xf numFmtId="3" fontId="16" fillId="0" borderId="28" xfId="0" applyNumberFormat="1" applyFont="1" applyBorder="1" applyAlignment="1">
      <alignment horizontal="center"/>
    </xf>
    <xf numFmtId="3" fontId="16" fillId="0" borderId="30" xfId="0" applyNumberFormat="1" applyFont="1" applyBorder="1" applyAlignment="1">
      <alignment horizontal="center"/>
    </xf>
    <xf numFmtId="3" fontId="0" fillId="0" borderId="0" xfId="0" applyNumberFormat="1"/>
    <xf numFmtId="1" fontId="9" fillId="0" borderId="19" xfId="0" applyNumberFormat="1" applyFont="1" applyBorder="1" applyAlignment="1">
      <alignment horizontal="center"/>
    </xf>
    <xf numFmtId="1" fontId="9" fillId="0" borderId="3" xfId="0" applyNumberFormat="1" applyFont="1" applyBorder="1" applyAlignment="1">
      <alignment horizontal="center"/>
    </xf>
    <xf numFmtId="3" fontId="21" fillId="0" borderId="36" xfId="0" applyNumberFormat="1" applyFont="1" applyBorder="1" applyAlignment="1">
      <alignment horizontal="center"/>
    </xf>
    <xf numFmtId="3" fontId="21" fillId="0" borderId="11" xfId="0" applyNumberFormat="1" applyFont="1" applyBorder="1" applyAlignment="1">
      <alignment horizontal="center"/>
    </xf>
    <xf numFmtId="41" fontId="9" fillId="0" borderId="19" xfId="0" applyNumberFormat="1" applyFont="1" applyBorder="1" applyAlignment="1">
      <alignment horizontal="center"/>
    </xf>
    <xf numFmtId="41" fontId="9" fillId="0" borderId="3" xfId="0" applyNumberFormat="1" applyFont="1" applyBorder="1" applyAlignment="1">
      <alignment horizontal="center"/>
    </xf>
    <xf numFmtId="1" fontId="11" fillId="0" borderId="25" xfId="0" applyNumberFormat="1" applyFont="1" applyBorder="1" applyAlignment="1">
      <alignment horizontal="center"/>
    </xf>
    <xf numFmtId="170" fontId="0" fillId="0" borderId="5" xfId="0" applyNumberFormat="1" applyBorder="1"/>
    <xf numFmtId="0" fontId="5" fillId="0" borderId="39" xfId="0" applyFont="1" applyBorder="1" applyAlignment="1">
      <alignment horizontal="center" vertical="center"/>
    </xf>
    <xf numFmtId="4" fontId="0" fillId="0" borderId="0" xfId="0" applyNumberFormat="1"/>
    <xf numFmtId="170" fontId="0" fillId="0" borderId="0" xfId="0" applyNumberFormat="1"/>
    <xf numFmtId="170" fontId="0" fillId="0" borderId="4" xfId="0" applyNumberFormat="1" applyBorder="1"/>
    <xf numFmtId="0" fontId="5" fillId="0" borderId="40" xfId="0" applyFont="1" applyBorder="1" applyAlignment="1">
      <alignment horizontal="center" vertical="center"/>
    </xf>
    <xf numFmtId="44" fontId="0" fillId="0" borderId="23" xfId="0" applyNumberFormat="1" applyBorder="1"/>
    <xf numFmtId="4" fontId="0" fillId="0" borderId="23" xfId="0" applyNumberFormat="1" applyBorder="1"/>
    <xf numFmtId="4" fontId="0" fillId="0" borderId="41" xfId="0" applyNumberFormat="1" applyBorder="1"/>
    <xf numFmtId="3" fontId="0" fillId="0" borderId="42" xfId="0" applyNumberFormat="1" applyBorder="1"/>
    <xf numFmtId="170" fontId="0" fillId="2" borderId="43" xfId="0" applyNumberFormat="1" applyFill="1" applyBorder="1"/>
    <xf numFmtId="0" fontId="5" fillId="2" borderId="2"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45" xfId="0" applyFont="1" applyFill="1" applyBorder="1" applyAlignment="1">
      <alignment horizontal="center" vertical="center"/>
    </xf>
    <xf numFmtId="4" fontId="0" fillId="0" borderId="12" xfId="0" applyNumberFormat="1" applyBorder="1"/>
    <xf numFmtId="4" fontId="0" fillId="0" borderId="13" xfId="0" applyNumberFormat="1" applyBorder="1"/>
    <xf numFmtId="44" fontId="0" fillId="0" borderId="13" xfId="0" applyNumberFormat="1" applyBorder="1"/>
    <xf numFmtId="4" fontId="0" fillId="0" borderId="45" xfId="0" applyNumberFormat="1" applyBorder="1"/>
    <xf numFmtId="38" fontId="0" fillId="0" borderId="0" xfId="0" applyNumberFormat="1"/>
    <xf numFmtId="0" fontId="28" fillId="0" borderId="0" xfId="0" applyFont="1"/>
    <xf numFmtId="1" fontId="0" fillId="0" borderId="0" xfId="0" applyNumberFormat="1"/>
    <xf numFmtId="0" fontId="0" fillId="0" borderId="0" xfId="0" applyAlignment="1">
      <alignment wrapText="1"/>
    </xf>
    <xf numFmtId="0" fontId="0" fillId="2" borderId="0" xfId="0" applyFill="1" applyAlignment="1">
      <alignment wrapText="1"/>
    </xf>
    <xf numFmtId="0" fontId="29" fillId="0" borderId="0" xfId="0" applyFont="1"/>
    <xf numFmtId="10" fontId="0" fillId="0" borderId="0" xfId="0" applyNumberFormat="1"/>
    <xf numFmtId="0" fontId="29" fillId="0" borderId="0" xfId="0" applyFont="1" applyAlignment="1">
      <alignment horizontal="right"/>
    </xf>
    <xf numFmtId="0" fontId="39" fillId="0" borderId="0" xfId="0" applyFont="1"/>
    <xf numFmtId="0" fontId="41" fillId="0" borderId="1" xfId="0" applyFont="1" applyBorder="1"/>
    <xf numFmtId="0" fontId="42" fillId="0" borderId="1" xfId="0" applyFont="1" applyBorder="1"/>
    <xf numFmtId="42" fontId="41" fillId="0" borderId="1" xfId="0" applyNumberFormat="1" applyFont="1" applyBorder="1" applyAlignment="1">
      <alignment horizontal="center"/>
    </xf>
    <xf numFmtId="44" fontId="41" fillId="0" borderId="1" xfId="0" applyNumberFormat="1" applyFont="1" applyBorder="1" applyAlignment="1">
      <alignment horizontal="center"/>
    </xf>
    <xf numFmtId="0" fontId="41" fillId="0" borderId="0" xfId="0" applyFont="1"/>
    <xf numFmtId="44" fontId="41" fillId="0" borderId="1" xfId="31" applyFont="1" applyBorder="1" applyAlignment="1">
      <alignment horizontal="center"/>
    </xf>
    <xf numFmtId="0" fontId="40" fillId="0" borderId="0" xfId="0" applyFont="1"/>
    <xf numFmtId="0" fontId="41" fillId="0" borderId="48" xfId="0" applyFont="1" applyBorder="1"/>
    <xf numFmtId="0" fontId="42" fillId="0" borderId="0" xfId="0" applyFont="1"/>
    <xf numFmtId="0" fontId="42" fillId="0" borderId="3" xfId="0" applyFont="1" applyBorder="1"/>
    <xf numFmtId="0" fontId="42" fillId="0" borderId="8" xfId="0" applyFont="1" applyBorder="1"/>
    <xf numFmtId="0" fontId="43" fillId="0" borderId="0" xfId="0" applyFont="1"/>
    <xf numFmtId="42" fontId="42" fillId="0" borderId="0" xfId="0" applyNumberFormat="1" applyFont="1" applyAlignment="1">
      <alignment horizontal="center"/>
    </xf>
    <xf numFmtId="0" fontId="44" fillId="0" borderId="0" xfId="0" applyFont="1"/>
    <xf numFmtId="0" fontId="40" fillId="0" borderId="0" xfId="0" applyFont="1" applyAlignment="1">
      <alignment vertical="top"/>
    </xf>
    <xf numFmtId="0" fontId="41" fillId="0" borderId="17" xfId="0" applyFont="1" applyBorder="1"/>
    <xf numFmtId="0" fontId="40" fillId="0" borderId="48" xfId="0" applyFont="1" applyBorder="1"/>
    <xf numFmtId="0" fontId="39" fillId="0" borderId="48" xfId="0" applyFont="1" applyBorder="1"/>
    <xf numFmtId="0" fontId="40" fillId="0" borderId="49" xfId="0" applyFont="1" applyBorder="1"/>
    <xf numFmtId="0" fontId="41" fillId="0" borderId="18" xfId="0" applyFont="1" applyBorder="1"/>
    <xf numFmtId="0" fontId="40" fillId="0" borderId="16" xfId="0" applyFont="1" applyBorder="1"/>
    <xf numFmtId="0" fontId="41" fillId="0" borderId="16" xfId="0" applyFont="1" applyBorder="1"/>
    <xf numFmtId="0" fontId="45" fillId="0" borderId="50" xfId="0" applyFont="1" applyBorder="1"/>
    <xf numFmtId="0" fontId="41" fillId="0" borderId="51" xfId="0" applyFont="1" applyBorder="1"/>
    <xf numFmtId="0" fontId="41" fillId="0" borderId="50" xfId="0" applyFont="1" applyBorder="1"/>
    <xf numFmtId="0" fontId="41" fillId="0" borderId="0" xfId="0" applyFont="1" applyAlignment="1">
      <alignment horizontal="right"/>
    </xf>
    <xf numFmtId="174" fontId="40" fillId="0" borderId="52" xfId="0" applyNumberFormat="1" applyFont="1" applyBorder="1" applyAlignment="1">
      <alignment horizontal="center"/>
    </xf>
    <xf numFmtId="0" fontId="45" fillId="0" borderId="51" xfId="0" applyFont="1" applyBorder="1" applyAlignment="1">
      <alignment horizontal="center"/>
    </xf>
    <xf numFmtId="44" fontId="39" fillId="0" borderId="0" xfId="0" applyNumberFormat="1" applyFont="1"/>
    <xf numFmtId="0" fontId="41" fillId="0" borderId="54" xfId="0" applyFont="1" applyBorder="1" applyAlignment="1">
      <alignment horizontal="right"/>
    </xf>
    <xf numFmtId="0" fontId="46" fillId="0" borderId="0" xfId="0" applyFont="1"/>
    <xf numFmtId="0" fontId="47" fillId="0" borderId="0" xfId="0" applyFont="1" applyAlignment="1">
      <alignment horizontal="center"/>
    </xf>
    <xf numFmtId="0" fontId="41" fillId="0" borderId="0" xfId="0" applyFont="1" applyAlignment="1">
      <alignment horizontal="center"/>
    </xf>
    <xf numFmtId="0" fontId="40" fillId="0" borderId="0" xfId="0" applyFont="1" applyAlignment="1">
      <alignment horizontal="center"/>
    </xf>
    <xf numFmtId="44" fontId="40" fillId="0" borderId="25" xfId="31" applyFont="1" applyBorder="1"/>
    <xf numFmtId="44" fontId="40" fillId="0" borderId="0" xfId="31" applyFont="1"/>
    <xf numFmtId="0" fontId="40" fillId="0" borderId="52" xfId="0" applyFont="1" applyBorder="1"/>
    <xf numFmtId="0" fontId="40" fillId="0" borderId="55" xfId="0" applyFont="1" applyBorder="1"/>
    <xf numFmtId="44" fontId="42" fillId="0" borderId="0" xfId="0" applyNumberFormat="1" applyFont="1"/>
    <xf numFmtId="0" fontId="48" fillId="0" borderId="0" xfId="0" applyFont="1"/>
    <xf numFmtId="0" fontId="49" fillId="0" borderId="0" xfId="0" applyFont="1"/>
    <xf numFmtId="0" fontId="41" fillId="0" borderId="54" xfId="0" applyFont="1" applyBorder="1"/>
    <xf numFmtId="0" fontId="48" fillId="0" borderId="0" xfId="0" applyFont="1" applyAlignment="1">
      <alignment horizontal="center"/>
    </xf>
    <xf numFmtId="44" fontId="41" fillId="0" borderId="0" xfId="0" applyNumberFormat="1" applyFont="1"/>
    <xf numFmtId="3" fontId="41" fillId="0" borderId="0" xfId="0" applyNumberFormat="1" applyFont="1"/>
    <xf numFmtId="0" fontId="41" fillId="0" borderId="52" xfId="0" applyFont="1" applyBorder="1"/>
    <xf numFmtId="0" fontId="41" fillId="0" borderId="0" xfId="0" applyFont="1" applyAlignment="1">
      <alignment vertical="center"/>
    </xf>
    <xf numFmtId="0" fontId="40" fillId="0" borderId="1" xfId="0" applyFont="1" applyBorder="1" applyAlignment="1">
      <alignment horizontal="center"/>
    </xf>
    <xf numFmtId="3" fontId="40" fillId="0" borderId="1" xfId="0" applyNumberFormat="1" applyFont="1" applyBorder="1" applyAlignment="1">
      <alignment horizontal="center"/>
    </xf>
    <xf numFmtId="3" fontId="40" fillId="0" borderId="8" xfId="0" applyNumberFormat="1" applyFont="1" applyBorder="1" applyAlignment="1">
      <alignment horizontal="center"/>
    </xf>
    <xf numFmtId="1" fontId="40" fillId="0" borderId="8" xfId="0" applyNumberFormat="1" applyFont="1" applyBorder="1" applyAlignment="1">
      <alignment horizontal="center"/>
    </xf>
    <xf numFmtId="0" fontId="51" fillId="0" borderId="0" xfId="0" applyFont="1"/>
    <xf numFmtId="0" fontId="40" fillId="0" borderId="2" xfId="0" applyFont="1" applyBorder="1" applyAlignment="1">
      <alignment horizontal="center" vertical="center"/>
    </xf>
    <xf numFmtId="0" fontId="40" fillId="0" borderId="2" xfId="0" applyFont="1" applyBorder="1" applyAlignment="1">
      <alignment horizontal="center" vertical="center" wrapText="1"/>
    </xf>
    <xf numFmtId="1" fontId="41" fillId="0" borderId="1" xfId="0" applyNumberFormat="1" applyFont="1" applyBorder="1" applyAlignment="1">
      <alignment horizontal="center"/>
    </xf>
    <xf numFmtId="1" fontId="41" fillId="0" borderId="32" xfId="0" applyNumberFormat="1" applyFont="1" applyBorder="1" applyAlignment="1">
      <alignment horizontal="center"/>
    </xf>
    <xf numFmtId="0" fontId="40" fillId="0" borderId="40" xfId="0" applyFont="1" applyBorder="1" applyAlignment="1">
      <alignment horizontal="center"/>
    </xf>
    <xf numFmtId="44" fontId="40" fillId="0" borderId="40" xfId="0" applyNumberFormat="1" applyFont="1" applyBorder="1" applyAlignment="1">
      <alignment horizontal="center"/>
    </xf>
    <xf numFmtId="0" fontId="40" fillId="0" borderId="57" xfId="0" applyFont="1" applyBorder="1"/>
    <xf numFmtId="0" fontId="41" fillId="0" borderId="1" xfId="0" applyFont="1" applyBorder="1" applyAlignment="1">
      <alignment horizontal="center"/>
    </xf>
    <xf numFmtId="0" fontId="41" fillId="0" borderId="32" xfId="0" applyFont="1" applyBorder="1" applyAlignment="1">
      <alignment horizontal="center"/>
    </xf>
    <xf numFmtId="0" fontId="39" fillId="0" borderId="0" xfId="0" applyFont="1" applyAlignment="1">
      <alignment horizontal="center"/>
    </xf>
    <xf numFmtId="0" fontId="39" fillId="0" borderId="1" xfId="0" applyFont="1" applyBorder="1"/>
    <xf numFmtId="0" fontId="39" fillId="0" borderId="13" xfId="0" applyFont="1" applyBorder="1"/>
    <xf numFmtId="42" fontId="39" fillId="0" borderId="1" xfId="0" applyNumberFormat="1" applyFont="1" applyBorder="1" applyAlignment="1">
      <alignment horizontal="center"/>
    </xf>
    <xf numFmtId="0" fontId="39" fillId="0" borderId="8" xfId="0" applyFont="1" applyBorder="1"/>
    <xf numFmtId="42" fontId="39" fillId="0" borderId="0" xfId="0" applyNumberFormat="1" applyFont="1" applyAlignment="1">
      <alignment horizontal="center"/>
    </xf>
    <xf numFmtId="8" fontId="41" fillId="0" borderId="1" xfId="0" applyNumberFormat="1" applyFont="1" applyBorder="1"/>
    <xf numFmtId="0" fontId="41" fillId="0" borderId="32" xfId="0" applyFont="1" applyBorder="1"/>
    <xf numFmtId="0" fontId="42" fillId="0" borderId="0" xfId="0" applyFont="1" applyAlignment="1">
      <alignment horizontal="center"/>
    </xf>
    <xf numFmtId="0" fontId="43" fillId="0" borderId="0" xfId="0" applyFont="1" applyAlignment="1">
      <alignment horizontal="center" wrapText="1"/>
    </xf>
    <xf numFmtId="0" fontId="43" fillId="0" borderId="1" xfId="0" applyFont="1" applyBorder="1"/>
    <xf numFmtId="8" fontId="42" fillId="0" borderId="3" xfId="0" applyNumberFormat="1" applyFont="1" applyBorder="1"/>
    <xf numFmtId="164" fontId="42" fillId="0" borderId="3" xfId="0" applyNumberFormat="1" applyFont="1" applyBorder="1" applyAlignment="1">
      <alignment horizontal="center"/>
    </xf>
    <xf numFmtId="167" fontId="42" fillId="0" borderId="4" xfId="0" applyNumberFormat="1" applyFont="1" applyBorder="1" applyAlignment="1">
      <alignment horizontal="center"/>
    </xf>
    <xf numFmtId="6" fontId="42" fillId="0" borderId="46" xfId="0" applyNumberFormat="1" applyFont="1" applyBorder="1" applyAlignment="1">
      <alignment horizontal="center"/>
    </xf>
    <xf numFmtId="8" fontId="42" fillId="0" borderId="13" xfId="0" applyNumberFormat="1" applyFont="1" applyBorder="1"/>
    <xf numFmtId="164" fontId="52" fillId="0" borderId="1" xfId="0" applyNumberFormat="1" applyFont="1" applyBorder="1" applyAlignment="1">
      <alignment horizontal="center"/>
    </xf>
    <xf numFmtId="167" fontId="42" fillId="0" borderId="5" xfId="0" applyNumberFormat="1" applyFont="1" applyBorder="1" applyAlignment="1">
      <alignment horizontal="center"/>
    </xf>
    <xf numFmtId="6" fontId="42" fillId="0" borderId="3" xfId="0" applyNumberFormat="1" applyFont="1" applyBorder="1" applyAlignment="1">
      <alignment horizontal="center"/>
    </xf>
    <xf numFmtId="168" fontId="42" fillId="0" borderId="0" xfId="0" applyNumberFormat="1" applyFont="1"/>
    <xf numFmtId="6" fontId="42" fillId="0" borderId="1" xfId="0" applyNumberFormat="1" applyFont="1" applyBorder="1" applyAlignment="1">
      <alignment horizontal="center"/>
    </xf>
    <xf numFmtId="8" fontId="52" fillId="0" borderId="1" xfId="0" applyNumberFormat="1" applyFont="1" applyBorder="1" applyAlignment="1">
      <alignment horizontal="center"/>
    </xf>
    <xf numFmtId="6" fontId="52" fillId="0" borderId="1" xfId="0" applyNumberFormat="1" applyFont="1" applyBorder="1" applyAlignment="1">
      <alignment horizontal="center"/>
    </xf>
    <xf numFmtId="0" fontId="42" fillId="0" borderId="13" xfId="0" applyFont="1" applyBorder="1"/>
    <xf numFmtId="167" fontId="42" fillId="0" borderId="3" xfId="0" applyNumberFormat="1" applyFont="1" applyBorder="1"/>
    <xf numFmtId="8" fontId="42" fillId="0" borderId="55" xfId="0" applyNumberFormat="1" applyFont="1" applyBorder="1"/>
    <xf numFmtId="164" fontId="42" fillId="0" borderId="55" xfId="0" applyNumberFormat="1" applyFont="1" applyBorder="1" applyAlignment="1">
      <alignment horizontal="center"/>
    </xf>
    <xf numFmtId="167" fontId="42" fillId="0" borderId="55" xfId="0" applyNumberFormat="1" applyFont="1" applyBorder="1" applyAlignment="1">
      <alignment horizontal="center"/>
    </xf>
    <xf numFmtId="167" fontId="42" fillId="0" borderId="1" xfId="0" applyNumberFormat="1" applyFont="1" applyBorder="1" applyAlignment="1">
      <alignment horizontal="center"/>
    </xf>
    <xf numFmtId="167" fontId="42" fillId="0" borderId="1" xfId="0" applyNumberFormat="1" applyFont="1" applyBorder="1"/>
    <xf numFmtId="164" fontId="42" fillId="0" borderId="1" xfId="0" applyNumberFormat="1" applyFont="1" applyBorder="1" applyAlignment="1">
      <alignment horizontal="center"/>
    </xf>
    <xf numFmtId="43" fontId="42" fillId="0" borderId="0" xfId="0" applyNumberFormat="1" applyFont="1"/>
    <xf numFmtId="8" fontId="42" fillId="0" borderId="1" xfId="0" applyNumberFormat="1" applyFont="1" applyBorder="1"/>
    <xf numFmtId="8" fontId="42" fillId="0" borderId="8" xfId="0" applyNumberFormat="1" applyFont="1" applyBorder="1"/>
    <xf numFmtId="167" fontId="42" fillId="0" borderId="8" xfId="0" applyNumberFormat="1" applyFont="1" applyBorder="1" applyAlignment="1">
      <alignment horizontal="center"/>
    </xf>
    <xf numFmtId="6" fontId="42" fillId="0" borderId="8" xfId="0" applyNumberFormat="1" applyFont="1" applyBorder="1" applyAlignment="1">
      <alignment horizontal="center"/>
    </xf>
    <xf numFmtId="0" fontId="42" fillId="0" borderId="32" xfId="0" applyFont="1" applyBorder="1"/>
    <xf numFmtId="8" fontId="42" fillId="0" borderId="32" xfId="0" applyNumberFormat="1" applyFont="1" applyBorder="1"/>
    <xf numFmtId="8" fontId="42" fillId="0" borderId="32" xfId="0" applyNumberFormat="1" applyFont="1" applyBorder="1" applyAlignment="1">
      <alignment horizontal="center"/>
    </xf>
    <xf numFmtId="42" fontId="42" fillId="0" borderId="32" xfId="0" applyNumberFormat="1" applyFont="1" applyBorder="1" applyAlignment="1">
      <alignment horizontal="center"/>
    </xf>
    <xf numFmtId="0" fontId="42" fillId="0" borderId="58" xfId="0" applyFont="1" applyBorder="1"/>
    <xf numFmtId="8" fontId="42" fillId="0" borderId="0" xfId="0" applyNumberFormat="1" applyFont="1"/>
    <xf numFmtId="164" fontId="42" fillId="0" borderId="0" xfId="0" applyNumberFormat="1" applyFont="1" applyAlignment="1">
      <alignment horizontal="center"/>
    </xf>
    <xf numFmtId="167" fontId="42" fillId="0" borderId="59" xfId="0" applyNumberFormat="1" applyFont="1" applyBorder="1" applyAlignment="1">
      <alignment horizontal="center"/>
    </xf>
    <xf numFmtId="8" fontId="43" fillId="0" borderId="0" xfId="0" applyNumberFormat="1" applyFont="1" applyAlignment="1">
      <alignment horizontal="center"/>
    </xf>
    <xf numFmtId="8" fontId="42" fillId="0" borderId="0" xfId="0" applyNumberFormat="1" applyFont="1" applyAlignment="1">
      <alignment horizontal="center"/>
    </xf>
    <xf numFmtId="6" fontId="43" fillId="0" borderId="0" xfId="0" applyNumberFormat="1" applyFont="1" applyAlignment="1">
      <alignment horizontal="center"/>
    </xf>
    <xf numFmtId="6" fontId="42" fillId="0" borderId="0" xfId="0" applyNumberFormat="1" applyFont="1"/>
    <xf numFmtId="14" fontId="42" fillId="0" borderId="0" xfId="0" applyNumberFormat="1" applyFont="1" applyAlignment="1">
      <alignment horizontal="center"/>
    </xf>
    <xf numFmtId="44" fontId="39" fillId="0" borderId="0" xfId="31" applyFont="1"/>
    <xf numFmtId="44" fontId="40" fillId="0" borderId="1" xfId="0" applyNumberFormat="1" applyFont="1" applyBorder="1" applyAlignment="1">
      <alignment horizontal="center"/>
    </xf>
    <xf numFmtId="44" fontId="41" fillId="0" borderId="1" xfId="0" applyNumberFormat="1" applyFont="1" applyBorder="1" applyAlignment="1">
      <alignment horizontal="left"/>
    </xf>
    <xf numFmtId="0" fontId="39" fillId="0" borderId="0" xfId="0" applyFont="1" applyAlignment="1">
      <alignment horizontal="left"/>
    </xf>
    <xf numFmtId="1" fontId="41" fillId="0" borderId="8" xfId="0" applyNumberFormat="1" applyFont="1" applyBorder="1" applyAlignment="1">
      <alignment horizontal="center"/>
    </xf>
    <xf numFmtId="44" fontId="40" fillId="0" borderId="8" xfId="0" applyNumberFormat="1" applyFont="1" applyBorder="1" applyAlignment="1">
      <alignment horizontal="center"/>
    </xf>
    <xf numFmtId="44" fontId="41" fillId="0" borderId="8" xfId="0" applyNumberFormat="1" applyFont="1" applyBorder="1" applyAlignment="1">
      <alignment horizontal="center"/>
    </xf>
    <xf numFmtId="1" fontId="41" fillId="0" borderId="32" xfId="0" applyNumberFormat="1" applyFont="1" applyBorder="1"/>
    <xf numFmtId="44" fontId="41" fillId="0" borderId="32" xfId="0" applyNumberFormat="1" applyFont="1" applyBorder="1" applyAlignment="1">
      <alignment horizontal="center"/>
    </xf>
    <xf numFmtId="0" fontId="47" fillId="0" borderId="0" xfId="0" applyFont="1"/>
    <xf numFmtId="0" fontId="50" fillId="0" borderId="56" xfId="0" applyFont="1" applyBorder="1" applyAlignment="1">
      <alignment horizontal="right"/>
    </xf>
    <xf numFmtId="8" fontId="48" fillId="0" borderId="56" xfId="0" applyNumberFormat="1" applyFont="1" applyBorder="1"/>
    <xf numFmtId="44" fontId="43" fillId="0" borderId="1" xfId="31" applyFont="1" applyBorder="1" applyAlignment="1">
      <alignment horizontal="center"/>
    </xf>
    <xf numFmtId="0" fontId="44" fillId="0" borderId="60" xfId="0" applyFont="1" applyBorder="1"/>
    <xf numFmtId="0" fontId="44" fillId="0" borderId="0" xfId="0" applyFont="1" applyAlignment="1">
      <alignment horizontal="center" vertical="center"/>
    </xf>
    <xf numFmtId="0" fontId="44" fillId="0" borderId="0" xfId="0" applyFont="1" applyAlignment="1">
      <alignment vertical="center"/>
    </xf>
    <xf numFmtId="0" fontId="53" fillId="0" borderId="2" xfId="0" applyFont="1" applyBorder="1" applyAlignment="1">
      <alignment horizontal="center" vertical="center"/>
    </xf>
    <xf numFmtId="0" fontId="53" fillId="0" borderId="2" xfId="0" applyFont="1" applyBorder="1" applyAlignment="1">
      <alignment horizontal="center" vertical="center" wrapText="1"/>
    </xf>
    <xf numFmtId="0" fontId="50" fillId="0" borderId="2" xfId="0" applyFont="1" applyBorder="1" applyAlignment="1">
      <alignment horizontal="center" vertical="center"/>
    </xf>
    <xf numFmtId="0" fontId="50" fillId="0" borderId="2" xfId="0" applyFont="1" applyBorder="1" applyAlignment="1">
      <alignment horizontal="center" vertical="center" wrapText="1"/>
    </xf>
    <xf numFmtId="0" fontId="50" fillId="0" borderId="2" xfId="47" applyFont="1" applyBorder="1" applyAlignment="1">
      <alignment horizontal="center" vertical="center" wrapText="1"/>
    </xf>
    <xf numFmtId="43" fontId="39" fillId="0" borderId="0" xfId="28" applyFont="1"/>
    <xf numFmtId="0" fontId="54" fillId="0" borderId="2" xfId="0" applyFont="1" applyBorder="1" applyAlignment="1">
      <alignment horizontal="center" vertical="center"/>
    </xf>
    <xf numFmtId="0" fontId="39" fillId="0" borderId="55" xfId="0" applyFont="1" applyBorder="1"/>
    <xf numFmtId="0" fontId="55" fillId="0" borderId="0" xfId="0" applyFont="1"/>
    <xf numFmtId="0" fontId="50" fillId="0" borderId="0" xfId="0" applyFont="1"/>
    <xf numFmtId="0" fontId="40" fillId="0" borderId="56" xfId="0" applyFont="1" applyBorder="1" applyAlignment="1">
      <alignment horizontal="center" vertical="center"/>
    </xf>
    <xf numFmtId="0" fontId="40" fillId="0" borderId="56" xfId="0" applyFont="1" applyBorder="1" applyAlignment="1">
      <alignment horizontal="center" vertical="center" wrapText="1"/>
    </xf>
    <xf numFmtId="0" fontId="41" fillId="0" borderId="1" xfId="0" applyFont="1" applyBorder="1" applyAlignment="1">
      <alignment vertical="center"/>
    </xf>
    <xf numFmtId="0" fontId="56" fillId="0" borderId="1" xfId="0" applyFont="1" applyBorder="1" applyAlignment="1">
      <alignment horizontal="center" vertical="center" wrapText="1"/>
    </xf>
    <xf numFmtId="44" fontId="40" fillId="0" borderId="1" xfId="31" applyFont="1" applyBorder="1" applyAlignment="1">
      <alignment horizontal="right" vertical="center"/>
    </xf>
    <xf numFmtId="172" fontId="41" fillId="0" borderId="1" xfId="0" applyNumberFormat="1" applyFont="1" applyBorder="1" applyAlignment="1">
      <alignment horizontal="center" vertical="center"/>
    </xf>
    <xf numFmtId="44" fontId="41" fillId="0" borderId="1" xfId="31" applyFont="1" applyBorder="1" applyAlignment="1">
      <alignment horizontal="right" vertical="center"/>
    </xf>
    <xf numFmtId="0" fontId="57" fillId="0" borderId="70" xfId="0" applyFont="1" applyBorder="1" applyAlignment="1">
      <alignment horizontal="left" vertical="center"/>
    </xf>
    <xf numFmtId="0" fontId="57" fillId="0" borderId="65" xfId="0" applyFont="1" applyBorder="1" applyAlignment="1">
      <alignment horizontal="left" vertical="center"/>
    </xf>
    <xf numFmtId="44" fontId="58" fillId="0" borderId="65" xfId="0" applyNumberFormat="1" applyFont="1" applyBorder="1" applyAlignment="1">
      <alignment horizontal="center" vertical="center"/>
    </xf>
    <xf numFmtId="0" fontId="58" fillId="0" borderId="65" xfId="0" applyFont="1" applyBorder="1" applyAlignment="1">
      <alignment vertical="center"/>
    </xf>
    <xf numFmtId="0" fontId="58" fillId="0" borderId="0" xfId="0" applyFont="1"/>
    <xf numFmtId="0" fontId="50" fillId="0" borderId="0" xfId="0" applyFont="1" applyAlignment="1">
      <alignment horizontal="center"/>
    </xf>
    <xf numFmtId="0" fontId="50" fillId="0" borderId="5" xfId="0" applyFont="1" applyBorder="1" applyAlignment="1">
      <alignment horizontal="center" vertical="center"/>
    </xf>
    <xf numFmtId="0" fontId="50" fillId="0" borderId="1" xfId="0" applyFont="1" applyBorder="1" applyAlignment="1">
      <alignment horizontal="center" vertical="center"/>
    </xf>
    <xf numFmtId="0" fontId="50" fillId="0" borderId="1" xfId="0" applyFont="1" applyBorder="1" applyAlignment="1">
      <alignment horizontal="center" vertical="center" wrapText="1"/>
    </xf>
    <xf numFmtId="0" fontId="39" fillId="0" borderId="0" xfId="0" applyFont="1" applyAlignment="1">
      <alignment horizontal="center" vertical="center"/>
    </xf>
    <xf numFmtId="0" fontId="40" fillId="0" borderId="71" xfId="0" applyFont="1" applyBorder="1" applyAlignment="1">
      <alignment horizontal="center" vertical="center"/>
    </xf>
    <xf numFmtId="171" fontId="39" fillId="0" borderId="1" xfId="0" applyNumberFormat="1" applyFont="1" applyBorder="1" applyAlignment="1">
      <alignment horizontal="right"/>
    </xf>
    <xf numFmtId="171" fontId="59" fillId="0" borderId="1" xfId="0" applyNumberFormat="1" applyFont="1" applyBorder="1" applyAlignment="1">
      <alignment horizontal="right"/>
    </xf>
    <xf numFmtId="0" fontId="54" fillId="0" borderId="2" xfId="0" applyFont="1" applyBorder="1" applyAlignment="1">
      <alignment horizontal="left"/>
    </xf>
    <xf numFmtId="42" fontId="47" fillId="0" borderId="0" xfId="0" applyNumberFormat="1" applyFont="1" applyAlignment="1">
      <alignment horizontal="center"/>
    </xf>
    <xf numFmtId="42" fontId="40" fillId="0" borderId="0" xfId="0" applyNumberFormat="1" applyFont="1" applyAlignment="1">
      <alignment horizontal="center"/>
    </xf>
    <xf numFmtId="171" fontId="54" fillId="0" borderId="2" xfId="0" applyNumberFormat="1" applyFont="1" applyBorder="1" applyAlignment="1">
      <alignment horizontal="right"/>
    </xf>
    <xf numFmtId="0" fontId="54" fillId="0" borderId="2" xfId="0" applyFont="1" applyBorder="1" applyAlignment="1">
      <alignment horizontal="center" vertical="center" wrapText="1"/>
    </xf>
    <xf numFmtId="42" fontId="54" fillId="0" borderId="2" xfId="0" applyNumberFormat="1" applyFont="1" applyBorder="1" applyAlignment="1">
      <alignment horizontal="center" vertical="center" wrapText="1"/>
    </xf>
    <xf numFmtId="0" fontId="46" fillId="0" borderId="0" xfId="0" applyFont="1" applyAlignment="1">
      <alignment vertical="center"/>
    </xf>
    <xf numFmtId="42" fontId="39" fillId="0" borderId="65" xfId="0" applyNumberFormat="1" applyFont="1" applyBorder="1" applyAlignment="1">
      <alignment horizontal="left" vertical="center"/>
    </xf>
    <xf numFmtId="42" fontId="39" fillId="0" borderId="60" xfId="0" applyNumberFormat="1" applyFont="1" applyBorder="1" applyAlignment="1">
      <alignment horizontal="center" vertical="center"/>
    </xf>
    <xf numFmtId="170" fontId="47" fillId="0" borderId="40" xfId="0" applyNumberFormat="1" applyFont="1" applyBorder="1" applyAlignment="1">
      <alignment horizontal="center" vertical="center"/>
    </xf>
    <xf numFmtId="0" fontId="39" fillId="0" borderId="0" xfId="0" applyFont="1" applyAlignment="1">
      <alignment vertical="center"/>
    </xf>
    <xf numFmtId="0" fontId="39" fillId="0" borderId="1" xfId="0" applyFont="1" applyBorder="1" applyAlignment="1">
      <alignment horizontal="center"/>
    </xf>
    <xf numFmtId="44" fontId="39" fillId="0" borderId="1" xfId="0" applyNumberFormat="1" applyFont="1" applyBorder="1"/>
    <xf numFmtId="0" fontId="54" fillId="0" borderId="0" xfId="0" applyFont="1"/>
    <xf numFmtId="42" fontId="41" fillId="0" borderId="1" xfId="0" applyNumberFormat="1" applyFont="1" applyBorder="1"/>
    <xf numFmtId="44" fontId="41" fillId="0" borderId="1" xfId="0" applyNumberFormat="1" applyFont="1" applyBorder="1"/>
    <xf numFmtId="49" fontId="41" fillId="0" borderId="1" xfId="0" applyNumberFormat="1" applyFont="1" applyBorder="1" applyAlignment="1">
      <alignment horizontal="center"/>
    </xf>
    <xf numFmtId="0" fontId="50" fillId="0" borderId="2" xfId="0" applyFont="1" applyBorder="1" applyAlignment="1">
      <alignment horizontal="center"/>
    </xf>
    <xf numFmtId="42" fontId="50" fillId="0" borderId="2" xfId="0" applyNumberFormat="1" applyFont="1" applyBorder="1" applyAlignment="1">
      <alignment horizontal="center"/>
    </xf>
    <xf numFmtId="44" fontId="50" fillId="0" borderId="2" xfId="0" applyNumberFormat="1" applyFont="1" applyBorder="1"/>
    <xf numFmtId="44" fontId="50" fillId="0" borderId="0" xfId="0" applyNumberFormat="1" applyFont="1"/>
    <xf numFmtId="42" fontId="41" fillId="0" borderId="0" xfId="0" applyNumberFormat="1" applyFont="1"/>
    <xf numFmtId="8" fontId="41" fillId="0" borderId="0" xfId="0" applyNumberFormat="1" applyFont="1" applyAlignment="1">
      <alignment horizontal="center"/>
    </xf>
    <xf numFmtId="44" fontId="50" fillId="0" borderId="2" xfId="31" applyFont="1" applyBorder="1" applyAlignment="1">
      <alignment horizontal="center" vertical="center" wrapText="1"/>
    </xf>
    <xf numFmtId="44" fontId="40" fillId="0" borderId="1" xfId="31" applyFont="1" applyBorder="1" applyAlignment="1">
      <alignment horizontal="center"/>
    </xf>
    <xf numFmtId="44" fontId="50" fillId="0" borderId="2" xfId="31" applyFont="1" applyBorder="1" applyAlignment="1">
      <alignment horizontal="center"/>
    </xf>
    <xf numFmtId="44" fontId="50" fillId="0" borderId="2" xfId="0" applyNumberFormat="1" applyFont="1" applyBorder="1" applyAlignment="1">
      <alignment horizontal="center"/>
    </xf>
    <xf numFmtId="0" fontId="47" fillId="0" borderId="72" xfId="0" applyFont="1" applyBorder="1"/>
    <xf numFmtId="0" fontId="47" fillId="0" borderId="55" xfId="0" applyFont="1" applyBorder="1"/>
    <xf numFmtId="0" fontId="47" fillId="0" borderId="55" xfId="0" applyFont="1" applyBorder="1" applyAlignment="1">
      <alignment horizontal="center"/>
    </xf>
    <xf numFmtId="0" fontId="47" fillId="0" borderId="13" xfId="0" applyFont="1" applyBorder="1" applyAlignment="1">
      <alignment horizontal="center"/>
    </xf>
    <xf numFmtId="0" fontId="47" fillId="0" borderId="1" xfId="0" applyFont="1" applyBorder="1" applyAlignment="1">
      <alignment horizontal="center"/>
    </xf>
    <xf numFmtId="0" fontId="47" fillId="0" borderId="1" xfId="0" applyFont="1" applyBorder="1" applyAlignment="1">
      <alignment horizontal="center" wrapText="1"/>
    </xf>
    <xf numFmtId="0" fontId="47" fillId="0" borderId="73" xfId="0" applyFont="1" applyBorder="1" applyAlignment="1">
      <alignment horizontal="center" wrapText="1"/>
    </xf>
    <xf numFmtId="10" fontId="47" fillId="0" borderId="1" xfId="0" applyNumberFormat="1" applyFont="1" applyBorder="1" applyAlignment="1">
      <alignment horizontal="center" wrapText="1"/>
    </xf>
    <xf numFmtId="172" fontId="39" fillId="0" borderId="1" xfId="0" applyNumberFormat="1" applyFont="1" applyBorder="1" applyAlignment="1">
      <alignment horizontal="center"/>
    </xf>
    <xf numFmtId="44" fontId="39" fillId="0" borderId="3" xfId="31" applyFont="1" applyBorder="1" applyAlignment="1">
      <alignment horizontal="center"/>
    </xf>
    <xf numFmtId="0" fontId="39" fillId="0" borderId="50" xfId="0" applyFont="1" applyBorder="1"/>
    <xf numFmtId="0" fontId="39" fillId="0" borderId="72" xfId="0" applyFont="1" applyBorder="1"/>
    <xf numFmtId="0" fontId="47" fillId="0" borderId="55" xfId="0" applyFont="1" applyBorder="1" applyAlignment="1">
      <alignment horizontal="left"/>
    </xf>
    <xf numFmtId="167" fontId="39" fillId="0" borderId="1" xfId="0" applyNumberFormat="1" applyFont="1" applyBorder="1" applyAlignment="1">
      <alignment horizontal="center"/>
    </xf>
    <xf numFmtId="167" fontId="39" fillId="0" borderId="73" xfId="0" applyNumberFormat="1" applyFont="1" applyBorder="1" applyAlignment="1">
      <alignment horizontal="center"/>
    </xf>
    <xf numFmtId="0" fontId="47" fillId="0" borderId="13" xfId="0" applyFont="1" applyBorder="1"/>
    <xf numFmtId="10" fontId="39" fillId="0" borderId="1" xfId="0" applyNumberFormat="1" applyFont="1" applyBorder="1" applyAlignment="1">
      <alignment horizontal="center"/>
    </xf>
    <xf numFmtId="44" fontId="39" fillId="0" borderId="1" xfId="31" applyFont="1" applyBorder="1" applyAlignment="1">
      <alignment horizontal="center"/>
    </xf>
    <xf numFmtId="40" fontId="59" fillId="0" borderId="1" xfId="0" applyNumberFormat="1" applyFont="1" applyBorder="1" applyAlignment="1">
      <alignment horizontal="right"/>
    </xf>
    <xf numFmtId="0" fontId="39" fillId="0" borderId="1" xfId="0" applyFont="1" applyBorder="1" applyAlignment="1">
      <alignment horizontal="center" wrapText="1"/>
    </xf>
    <xf numFmtId="42" fontId="39" fillId="0" borderId="73" xfId="0" applyNumberFormat="1" applyFont="1" applyBorder="1" applyAlignment="1">
      <alignment horizontal="center"/>
    </xf>
    <xf numFmtId="43" fontId="39" fillId="0" borderId="1" xfId="28" applyFont="1" applyBorder="1"/>
    <xf numFmtId="0" fontId="39" fillId="0" borderId="1" xfId="0" quotePrefix="1" applyFont="1" applyBorder="1" applyAlignment="1">
      <alignment horizontal="center"/>
    </xf>
    <xf numFmtId="42" fontId="47" fillId="0" borderId="32" xfId="0" applyNumberFormat="1" applyFont="1" applyBorder="1" applyAlignment="1">
      <alignment horizontal="center"/>
    </xf>
    <xf numFmtId="42" fontId="39" fillId="0" borderId="75" xfId="0" applyNumberFormat="1" applyFont="1" applyBorder="1" applyAlignment="1">
      <alignment horizontal="center"/>
    </xf>
    <xf numFmtId="0" fontId="47" fillId="0" borderId="48" xfId="0" applyFont="1" applyBorder="1" applyAlignment="1">
      <alignment horizontal="center"/>
    </xf>
    <xf numFmtId="167" fontId="47" fillId="0" borderId="48" xfId="0" applyNumberFormat="1" applyFont="1" applyBorder="1" applyAlignment="1">
      <alignment horizontal="center"/>
    </xf>
    <xf numFmtId="42" fontId="47" fillId="0" borderId="48" xfId="0" applyNumberFormat="1" applyFont="1" applyBorder="1" applyAlignment="1">
      <alignment horizontal="center"/>
    </xf>
    <xf numFmtId="42" fontId="39" fillId="0" borderId="48" xfId="0" applyNumberFormat="1" applyFont="1" applyBorder="1" applyAlignment="1">
      <alignment horizontal="center"/>
    </xf>
    <xf numFmtId="43" fontId="60" fillId="0" borderId="0" xfId="28" applyFont="1" applyAlignment="1">
      <alignment horizontal="center"/>
    </xf>
    <xf numFmtId="167" fontId="60" fillId="0" borderId="0" xfId="0" applyNumberFormat="1" applyFont="1" applyAlignment="1">
      <alignment horizontal="center"/>
    </xf>
    <xf numFmtId="167" fontId="39" fillId="0" borderId="0" xfId="0" applyNumberFormat="1" applyFont="1"/>
    <xf numFmtId="0" fontId="47" fillId="0" borderId="52" xfId="0" applyFont="1" applyBorder="1"/>
    <xf numFmtId="0" fontId="47" fillId="0" borderId="52" xfId="0" applyFont="1" applyBorder="1" applyAlignment="1">
      <alignment horizontal="center"/>
    </xf>
    <xf numFmtId="0" fontId="47" fillId="0" borderId="12" xfId="0" applyFont="1" applyBorder="1" applyAlignment="1">
      <alignment horizontal="center"/>
    </xf>
    <xf numFmtId="0" fontId="47" fillId="0" borderId="3" xfId="0" applyFont="1" applyBorder="1" applyAlignment="1">
      <alignment horizontal="center"/>
    </xf>
    <xf numFmtId="0" fontId="47" fillId="0" borderId="3" xfId="0" applyFont="1" applyBorder="1" applyAlignment="1">
      <alignment horizontal="center" wrapText="1"/>
    </xf>
    <xf numFmtId="0" fontId="54" fillId="0" borderId="14" xfId="0" applyFont="1" applyBorder="1" applyAlignment="1">
      <alignment horizontal="center" vertical="center"/>
    </xf>
    <xf numFmtId="0" fontId="61" fillId="0" borderId="6" xfId="0" applyFont="1" applyBorder="1" applyAlignment="1">
      <alignment horizontal="center" vertical="center"/>
    </xf>
    <xf numFmtId="0" fontId="61" fillId="0" borderId="6" xfId="0" applyFont="1" applyBorder="1" applyAlignment="1">
      <alignment horizontal="center" vertical="center" wrapText="1"/>
    </xf>
    <xf numFmtId="0" fontId="61" fillId="0" borderId="35" xfId="0" applyFont="1" applyBorder="1" applyAlignment="1">
      <alignment horizontal="center" vertical="center" wrapText="1"/>
    </xf>
    <xf numFmtId="10" fontId="47" fillId="0" borderId="4" xfId="0" applyNumberFormat="1" applyFont="1" applyBorder="1" applyAlignment="1">
      <alignment horizontal="center" wrapText="1"/>
    </xf>
    <xf numFmtId="0" fontId="47" fillId="0" borderId="77" xfId="0" applyFont="1" applyBorder="1" applyAlignment="1">
      <alignment horizontal="center" wrapText="1"/>
    </xf>
    <xf numFmtId="0" fontId="54" fillId="0" borderId="67" xfId="0" applyFont="1" applyBorder="1" applyAlignment="1">
      <alignment horizontal="center"/>
    </xf>
    <xf numFmtId="0" fontId="54" fillId="0" borderId="15" xfId="0" applyFont="1" applyBorder="1" applyAlignment="1">
      <alignment horizontal="center"/>
    </xf>
    <xf numFmtId="0" fontId="54" fillId="0" borderId="32" xfId="0" applyFont="1" applyBorder="1" applyAlignment="1">
      <alignment horizontal="center"/>
    </xf>
    <xf numFmtId="0" fontId="54" fillId="0" borderId="67" xfId="0" applyFont="1" applyBorder="1"/>
    <xf numFmtId="0" fontId="54" fillId="0" borderId="60" xfId="0" applyFont="1" applyBorder="1" applyAlignment="1">
      <alignment horizontal="left"/>
    </xf>
    <xf numFmtId="0" fontId="54" fillId="0" borderId="40" xfId="0" applyFont="1" applyBorder="1" applyAlignment="1">
      <alignment horizontal="center"/>
    </xf>
    <xf numFmtId="167" fontId="54" fillId="0" borderId="40" xfId="0" applyNumberFormat="1" applyFont="1" applyBorder="1" applyAlignment="1">
      <alignment horizontal="center"/>
    </xf>
    <xf numFmtId="10" fontId="54" fillId="0" borderId="40" xfId="0" applyNumberFormat="1" applyFont="1" applyBorder="1" applyAlignment="1">
      <alignment horizontal="center"/>
    </xf>
    <xf numFmtId="43" fontId="54" fillId="0" borderId="40" xfId="28" applyFont="1" applyBorder="1" applyAlignment="1">
      <alignment horizontal="center"/>
    </xf>
    <xf numFmtId="167" fontId="46" fillId="0" borderId="0" xfId="0" applyNumberFormat="1" applyFont="1"/>
    <xf numFmtId="0" fontId="55" fillId="0" borderId="6" xfId="0" applyFont="1" applyBorder="1" applyAlignment="1">
      <alignment horizontal="center" vertical="center" wrapText="1"/>
    </xf>
    <xf numFmtId="0" fontId="40" fillId="0" borderId="0" xfId="0" applyFont="1" applyAlignment="1">
      <alignment vertical="center"/>
    </xf>
    <xf numFmtId="44" fontId="39" fillId="0" borderId="1" xfId="31" applyFont="1" applyBorder="1"/>
    <xf numFmtId="173" fontId="39" fillId="0" borderId="73" xfId="31" applyNumberFormat="1" applyFont="1" applyBorder="1"/>
    <xf numFmtId="0" fontId="62" fillId="0" borderId="13" xfId="0" applyFont="1" applyBorder="1"/>
    <xf numFmtId="44" fontId="47" fillId="0" borderId="1" xfId="31" applyFont="1" applyBorder="1"/>
    <xf numFmtId="44" fontId="39" fillId="0" borderId="73" xfId="31" applyFont="1" applyBorder="1"/>
    <xf numFmtId="44" fontId="39" fillId="0" borderId="8" xfId="31" applyFont="1" applyBorder="1"/>
    <xf numFmtId="44" fontId="47" fillId="0" borderId="47" xfId="31" applyFont="1" applyBorder="1"/>
    <xf numFmtId="3" fontId="39" fillId="0" borderId="46" xfId="0" applyNumberFormat="1" applyFont="1" applyBorder="1" applyAlignment="1">
      <alignment horizontal="right"/>
    </xf>
    <xf numFmtId="44" fontId="39" fillId="0" borderId="13" xfId="0" applyNumberFormat="1" applyFont="1" applyBorder="1"/>
    <xf numFmtId="44" fontId="39" fillId="0" borderId="1" xfId="31" applyFont="1" applyBorder="1" applyAlignment="1">
      <alignment horizontal="right"/>
    </xf>
    <xf numFmtId="44" fontId="39" fillId="0" borderId="1" xfId="0" applyNumberFormat="1" applyFont="1" applyBorder="1" applyAlignment="1">
      <alignment horizontal="right"/>
    </xf>
    <xf numFmtId="3" fontId="39" fillId="0" borderId="1" xfId="0" applyNumberFormat="1" applyFont="1" applyBorder="1" applyAlignment="1">
      <alignment horizontal="right"/>
    </xf>
    <xf numFmtId="3" fontId="39" fillId="0" borderId="1" xfId="0" applyNumberFormat="1" applyFont="1" applyBorder="1"/>
    <xf numFmtId="44" fontId="39" fillId="0" borderId="3" xfId="31" applyFont="1" applyBorder="1" applyAlignment="1">
      <alignment horizontal="right"/>
    </xf>
    <xf numFmtId="3" fontId="39" fillId="0" borderId="8" xfId="0" applyNumberFormat="1" applyFont="1" applyBorder="1"/>
    <xf numFmtId="44" fontId="39" fillId="0" borderId="8" xfId="0" applyNumberFormat="1" applyFont="1" applyBorder="1"/>
    <xf numFmtId="0" fontId="56" fillId="0" borderId="0" xfId="0" applyFont="1"/>
    <xf numFmtId="0" fontId="47" fillId="0" borderId="6" xfId="0" applyFont="1" applyBorder="1" applyAlignment="1">
      <alignment horizontal="center" vertical="center" wrapText="1"/>
    </xf>
    <xf numFmtId="0" fontId="47" fillId="0" borderId="35" xfId="0" applyFont="1" applyBorder="1" applyAlignment="1">
      <alignment horizontal="center" vertical="center" wrapText="1"/>
    </xf>
    <xf numFmtId="0" fontId="39" fillId="0" borderId="0" xfId="0" applyFont="1" applyAlignment="1">
      <alignment horizontal="center" vertical="center" wrapText="1"/>
    </xf>
    <xf numFmtId="0" fontId="40" fillId="0" borderId="7" xfId="0" applyFont="1" applyBorder="1"/>
    <xf numFmtId="0" fontId="41" fillId="0" borderId="21" xfId="0" applyFont="1" applyBorder="1" applyAlignment="1">
      <alignment horizontal="left"/>
    </xf>
    <xf numFmtId="3" fontId="41" fillId="0" borderId="28" xfId="0" applyNumberFormat="1" applyFont="1" applyBorder="1" applyAlignment="1">
      <alignment horizontal="center"/>
    </xf>
    <xf numFmtId="3" fontId="40" fillId="0" borderId="28" xfId="0" applyNumberFormat="1" applyFont="1" applyBorder="1" applyAlignment="1">
      <alignment horizontal="center"/>
    </xf>
    <xf numFmtId="17" fontId="41" fillId="0" borderId="22" xfId="0" applyNumberFormat="1" applyFont="1" applyBorder="1" applyAlignment="1">
      <alignment horizontal="left"/>
    </xf>
    <xf numFmtId="17" fontId="41" fillId="0" borderId="23" xfId="0" applyNumberFormat="1" applyFont="1" applyBorder="1" applyAlignment="1">
      <alignment horizontal="left"/>
    </xf>
    <xf numFmtId="0" fontId="40" fillId="0" borderId="18" xfId="0" applyFont="1" applyBorder="1" applyAlignment="1">
      <alignment horizontal="center" vertical="center"/>
    </xf>
    <xf numFmtId="17" fontId="43" fillId="0" borderId="20" xfId="0" applyNumberFormat="1" applyFont="1" applyBorder="1" applyAlignment="1">
      <alignment horizontal="center"/>
    </xf>
    <xf numFmtId="17" fontId="42" fillId="0" borderId="0" xfId="0" applyNumberFormat="1" applyFont="1" applyAlignment="1">
      <alignment horizontal="left"/>
    </xf>
    <xf numFmtId="38" fontId="6" fillId="0" borderId="0" xfId="0" applyNumberFormat="1" applyFont="1"/>
    <xf numFmtId="49" fontId="9" fillId="0" borderId="13" xfId="0" applyNumberFormat="1" applyFont="1" applyBorder="1" applyAlignment="1">
      <alignment horizontal="center"/>
    </xf>
    <xf numFmtId="0" fontId="42" fillId="0" borderId="0" xfId="0" applyFont="1" applyAlignment="1">
      <alignment horizontal="left"/>
    </xf>
    <xf numFmtId="0" fontId="62" fillId="0" borderId="0" xfId="0" applyFont="1" applyAlignment="1">
      <alignment horizontal="center"/>
    </xf>
    <xf numFmtId="41" fontId="41" fillId="0" borderId="0" xfId="0" applyNumberFormat="1" applyFont="1" applyAlignment="1">
      <alignment horizontal="center"/>
    </xf>
    <xf numFmtId="1" fontId="41" fillId="0" borderId="0" xfId="0" applyNumberFormat="1" applyFont="1" applyAlignment="1">
      <alignment horizontal="center"/>
    </xf>
    <xf numFmtId="17" fontId="62" fillId="0" borderId="0" xfId="0" applyNumberFormat="1" applyFont="1" applyAlignment="1">
      <alignment horizontal="center"/>
    </xf>
    <xf numFmtId="17" fontId="43" fillId="0" borderId="0" xfId="0" applyNumberFormat="1" applyFont="1" applyAlignment="1">
      <alignment horizontal="left"/>
    </xf>
    <xf numFmtId="17" fontId="62" fillId="0" borderId="0" xfId="0" applyNumberFormat="1" applyFont="1" applyAlignment="1">
      <alignment horizontal="left"/>
    </xf>
    <xf numFmtId="17" fontId="41" fillId="0" borderId="0" xfId="0" applyNumberFormat="1" applyFont="1" applyAlignment="1">
      <alignment horizontal="left"/>
    </xf>
    <xf numFmtId="165" fontId="41" fillId="0" borderId="0" xfId="0" applyNumberFormat="1" applyFont="1" applyAlignment="1">
      <alignment horizontal="center"/>
    </xf>
    <xf numFmtId="44" fontId="63" fillId="0" borderId="1" xfId="31" applyFont="1" applyBorder="1"/>
    <xf numFmtId="0" fontId="6" fillId="4" borderId="0" xfId="0" applyFont="1" applyFill="1"/>
    <xf numFmtId="0" fontId="6" fillId="0" borderId="0" xfId="0" applyFont="1" applyAlignment="1">
      <alignment wrapText="1"/>
    </xf>
    <xf numFmtId="0" fontId="50" fillId="0" borderId="0" xfId="0" applyFont="1" applyAlignment="1">
      <alignment vertical="center"/>
    </xf>
    <xf numFmtId="0" fontId="5" fillId="0" borderId="70" xfId="0" applyFont="1" applyBorder="1" applyAlignment="1">
      <alignment horizontal="center" vertical="center"/>
    </xf>
    <xf numFmtId="170" fontId="0" fillId="2" borderId="78" xfId="0" applyNumberFormat="1" applyFill="1" applyBorder="1"/>
    <xf numFmtId="44" fontId="0" fillId="0" borderId="1" xfId="0" applyNumberFormat="1" applyBorder="1"/>
    <xf numFmtId="0" fontId="36" fillId="2" borderId="45" xfId="0" applyFont="1" applyFill="1" applyBorder="1" applyAlignment="1">
      <alignment horizontal="center" vertical="center"/>
    </xf>
    <xf numFmtId="44" fontId="0" fillId="0" borderId="0" xfId="0" applyNumberFormat="1"/>
    <xf numFmtId="0" fontId="6" fillId="0" borderId="1" xfId="0" applyFont="1" applyBorder="1"/>
    <xf numFmtId="4" fontId="6" fillId="0" borderId="1" xfId="0" applyNumberFormat="1" applyFont="1" applyBorder="1"/>
    <xf numFmtId="0" fontId="39" fillId="0" borderId="59" xfId="0" applyFont="1" applyBorder="1"/>
    <xf numFmtId="0" fontId="34" fillId="0" borderId="13" xfId="0" applyFont="1" applyBorder="1"/>
    <xf numFmtId="44" fontId="34" fillId="0" borderId="1" xfId="31" applyFont="1" applyBorder="1"/>
    <xf numFmtId="44" fontId="34" fillId="0" borderId="73" xfId="31" applyFont="1" applyBorder="1"/>
    <xf numFmtId="0" fontId="34" fillId="0" borderId="72" xfId="0" applyFont="1" applyBorder="1"/>
    <xf numFmtId="0" fontId="34" fillId="0" borderId="68" xfId="0" applyFont="1" applyBorder="1"/>
    <xf numFmtId="44" fontId="34" fillId="0" borderId="68" xfId="31" applyFont="1" applyBorder="1"/>
    <xf numFmtId="44" fontId="39" fillId="0" borderId="47" xfId="31" applyFont="1" applyBorder="1"/>
    <xf numFmtId="44" fontId="39" fillId="0" borderId="79" xfId="31" applyFont="1" applyBorder="1"/>
    <xf numFmtId="0" fontId="40" fillId="0" borderId="14" xfId="0" applyFont="1" applyBorder="1"/>
    <xf numFmtId="44" fontId="40" fillId="0" borderId="31" xfId="0" applyNumberFormat="1" applyFont="1" applyBorder="1"/>
    <xf numFmtId="44" fontId="40" fillId="0" borderId="14" xfId="0" applyNumberFormat="1" applyFont="1" applyBorder="1"/>
    <xf numFmtId="40" fontId="40" fillId="0" borderId="14" xfId="0" applyNumberFormat="1" applyFont="1" applyBorder="1"/>
    <xf numFmtId="44" fontId="40" fillId="0" borderId="6" xfId="0" applyNumberFormat="1" applyFont="1" applyBorder="1"/>
    <xf numFmtId="0" fontId="39" fillId="0" borderId="5" xfId="0" applyFont="1" applyBorder="1"/>
    <xf numFmtId="0" fontId="39" fillId="0" borderId="9" xfId="0" applyFont="1" applyBorder="1"/>
    <xf numFmtId="40" fontId="39" fillId="0" borderId="0" xfId="0" applyNumberFormat="1" applyFont="1"/>
    <xf numFmtId="43" fontId="46" fillId="0" borderId="0" xfId="0" applyNumberFormat="1" applyFont="1"/>
    <xf numFmtId="0" fontId="62" fillId="0" borderId="0" xfId="0" applyFont="1"/>
    <xf numFmtId="0" fontId="62" fillId="0" borderId="0" xfId="0" applyFont="1" applyAlignment="1">
      <alignment horizontal="center" vertical="center" wrapText="1"/>
    </xf>
    <xf numFmtId="44" fontId="62" fillId="0" borderId="0" xfId="31" applyFont="1"/>
    <xf numFmtId="0" fontId="54" fillId="0" borderId="80" xfId="0" applyFont="1" applyBorder="1"/>
    <xf numFmtId="0" fontId="54" fillId="0" borderId="56" xfId="0" applyFont="1" applyBorder="1"/>
    <xf numFmtId="44" fontId="62" fillId="0" borderId="0" xfId="0" applyNumberFormat="1" applyFont="1"/>
    <xf numFmtId="0" fontId="40" fillId="0" borderId="31" xfId="0" applyFont="1" applyBorder="1"/>
    <xf numFmtId="0" fontId="34" fillId="0" borderId="5" xfId="0" applyFont="1" applyBorder="1"/>
    <xf numFmtId="170" fontId="0" fillId="0" borderId="46" xfId="0" applyNumberFormat="1" applyBorder="1"/>
    <xf numFmtId="3" fontId="39" fillId="0" borderId="3" xfId="0" applyNumberFormat="1" applyFont="1" applyBorder="1" applyAlignment="1">
      <alignment horizontal="right"/>
    </xf>
    <xf numFmtId="8" fontId="38" fillId="0" borderId="1" xfId="0" applyNumberFormat="1" applyFont="1" applyBorder="1" applyAlignment="1">
      <alignment horizontal="center"/>
    </xf>
    <xf numFmtId="0" fontId="61" fillId="0" borderId="0" xfId="0" applyFont="1"/>
    <xf numFmtId="0" fontId="34" fillId="0" borderId="55" xfId="0" applyFont="1" applyBorder="1"/>
    <xf numFmtId="0" fontId="25" fillId="0" borderId="0" xfId="0" applyFont="1"/>
    <xf numFmtId="0" fontId="6" fillId="6" borderId="1" xfId="0" applyFont="1" applyFill="1" applyBorder="1" applyAlignment="1">
      <alignment horizontal="center"/>
    </xf>
    <xf numFmtId="0" fontId="6" fillId="0" borderId="1" xfId="0" applyFont="1" applyBorder="1" applyAlignment="1">
      <alignment horizontal="center"/>
    </xf>
    <xf numFmtId="0" fontId="0" fillId="0" borderId="1" xfId="0" applyBorder="1" applyAlignment="1">
      <alignment horizontal="center"/>
    </xf>
    <xf numFmtId="0" fontId="65" fillId="0" borderId="0" xfId="0" applyFont="1" applyAlignment="1">
      <alignment horizontal="center"/>
    </xf>
    <xf numFmtId="0" fontId="0" fillId="0" borderId="0" xfId="0" applyAlignment="1">
      <alignment horizontal="center"/>
    </xf>
    <xf numFmtId="0" fontId="0" fillId="2" borderId="0" xfId="0" applyFill="1" applyAlignment="1">
      <alignment vertical="top"/>
    </xf>
    <xf numFmtId="0" fontId="34" fillId="0" borderId="81" xfId="0" applyFont="1" applyBorder="1" applyAlignment="1">
      <alignment horizontal="center" vertical="center" wrapText="1"/>
    </xf>
    <xf numFmtId="0" fontId="7" fillId="0" borderId="0" xfId="0" applyFont="1"/>
    <xf numFmtId="17" fontId="40" fillId="38" borderId="20" xfId="0" applyNumberFormat="1" applyFont="1" applyFill="1" applyBorder="1" applyAlignment="1">
      <alignment horizontal="center"/>
    </xf>
    <xf numFmtId="3" fontId="40" fillId="38" borderId="11" xfId="0" applyNumberFormat="1" applyFont="1" applyFill="1" applyBorder="1" applyAlignment="1">
      <alignment horizontal="center"/>
    </xf>
    <xf numFmtId="0" fontId="40" fillId="38" borderId="20" xfId="0" applyFont="1" applyFill="1" applyBorder="1" applyAlignment="1">
      <alignment horizontal="center"/>
    </xf>
    <xf numFmtId="0" fontId="44" fillId="0" borderId="0" xfId="0" applyFont="1" applyAlignment="1">
      <alignment horizontal="center" wrapText="1"/>
    </xf>
    <xf numFmtId="0" fontId="66" fillId="0" borderId="1" xfId="50" applyFont="1" applyBorder="1" applyAlignment="1">
      <alignment horizontal="center" vertical="top" wrapText="1"/>
    </xf>
    <xf numFmtId="42" fontId="62" fillId="0" borderId="0" xfId="0" applyNumberFormat="1" applyFont="1" applyAlignment="1">
      <alignment horizontal="center"/>
    </xf>
    <xf numFmtId="44" fontId="56" fillId="0" borderId="0" xfId="0" applyNumberFormat="1" applyFont="1"/>
    <xf numFmtId="0" fontId="35" fillId="0" borderId="2" xfId="0" applyFont="1" applyBorder="1" applyAlignment="1">
      <alignment horizontal="center" vertical="center" wrapText="1"/>
    </xf>
    <xf numFmtId="44" fontId="41" fillId="0" borderId="77" xfId="31" applyFont="1" applyBorder="1"/>
    <xf numFmtId="44" fontId="41" fillId="0" borderId="53" xfId="31" applyFont="1" applyBorder="1"/>
    <xf numFmtId="0" fontId="40" fillId="0" borderId="50" xfId="0" applyFont="1" applyBorder="1"/>
    <xf numFmtId="17" fontId="12" fillId="39" borderId="20" xfId="0" applyNumberFormat="1" applyFont="1" applyFill="1" applyBorder="1" applyAlignment="1">
      <alignment horizontal="center"/>
    </xf>
    <xf numFmtId="17" fontId="8" fillId="39" borderId="14" xfId="0" applyNumberFormat="1" applyFont="1" applyFill="1" applyBorder="1" applyAlignment="1">
      <alignment horizontal="center"/>
    </xf>
    <xf numFmtId="3" fontId="12" fillId="39" borderId="6" xfId="0" applyNumberFormat="1" applyFont="1" applyFill="1" applyBorder="1" applyAlignment="1">
      <alignment horizontal="center"/>
    </xf>
    <xf numFmtId="3" fontId="16" fillId="39" borderId="11" xfId="0" applyNumberFormat="1" applyFont="1" applyFill="1" applyBorder="1" applyAlignment="1">
      <alignment horizontal="center"/>
    </xf>
    <xf numFmtId="3" fontId="16" fillId="39" borderId="36" xfId="0" applyNumberFormat="1" applyFont="1" applyFill="1" applyBorder="1" applyAlignment="1">
      <alignment horizontal="center"/>
    </xf>
    <xf numFmtId="3" fontId="12" fillId="39" borderId="14" xfId="0" applyNumberFormat="1" applyFont="1" applyFill="1" applyBorder="1" applyAlignment="1">
      <alignment horizontal="center"/>
    </xf>
    <xf numFmtId="3" fontId="21" fillId="39" borderId="36" xfId="0" applyNumberFormat="1" applyFont="1" applyFill="1" applyBorder="1" applyAlignment="1">
      <alignment horizontal="center"/>
    </xf>
    <xf numFmtId="3" fontId="8" fillId="39" borderId="6" xfId="0" applyNumberFormat="1" applyFont="1" applyFill="1" applyBorder="1" applyAlignment="1">
      <alignment horizontal="center"/>
    </xf>
    <xf numFmtId="3" fontId="12" fillId="39" borderId="31" xfId="0" applyNumberFormat="1" applyFont="1" applyFill="1" applyBorder="1" applyAlignment="1">
      <alignment horizontal="center"/>
    </xf>
    <xf numFmtId="3" fontId="21" fillId="39" borderId="11" xfId="0" applyNumberFormat="1" applyFont="1" applyFill="1" applyBorder="1" applyAlignment="1">
      <alignment horizontal="center"/>
    </xf>
    <xf numFmtId="3" fontId="12" fillId="39" borderId="11" xfId="0" applyNumberFormat="1" applyFont="1" applyFill="1" applyBorder="1" applyAlignment="1">
      <alignment horizontal="center"/>
    </xf>
    <xf numFmtId="0" fontId="6" fillId="0" borderId="0" xfId="0" applyFont="1" applyAlignment="1">
      <alignment horizontal="right"/>
    </xf>
    <xf numFmtId="2" fontId="0" fillId="0" borderId="1" xfId="0" applyNumberFormat="1" applyBorder="1" applyAlignment="1">
      <alignment horizontal="center"/>
    </xf>
    <xf numFmtId="17" fontId="40" fillId="0" borderId="83" xfId="0" applyNumberFormat="1" applyFont="1" applyBorder="1" applyAlignment="1">
      <alignment horizontal="center" vertical="center"/>
    </xf>
    <xf numFmtId="4" fontId="41" fillId="0" borderId="69" xfId="0" applyNumberFormat="1" applyFont="1" applyBorder="1"/>
    <xf numFmtId="1" fontId="41" fillId="0" borderId="69" xfId="0" applyNumberFormat="1" applyFont="1" applyBorder="1" applyAlignment="1">
      <alignment horizontal="center"/>
    </xf>
    <xf numFmtId="3" fontId="41" fillId="0" borderId="69" xfId="0" applyNumberFormat="1" applyFont="1" applyBorder="1" applyAlignment="1">
      <alignment horizontal="center" wrapText="1"/>
    </xf>
    <xf numFmtId="3" fontId="40" fillId="0" borderId="37" xfId="0" applyNumberFormat="1" applyFont="1" applyBorder="1" applyAlignment="1">
      <alignment horizontal="center"/>
    </xf>
    <xf numFmtId="0" fontId="40" fillId="40" borderId="20" xfId="0" applyFont="1" applyFill="1" applyBorder="1"/>
    <xf numFmtId="3" fontId="40" fillId="40" borderId="6" xfId="0" applyNumberFormat="1" applyFont="1" applyFill="1" applyBorder="1" applyAlignment="1">
      <alignment horizontal="center"/>
    </xf>
    <xf numFmtId="3" fontId="40" fillId="40" borderId="11" xfId="0" applyNumberFormat="1" applyFont="1" applyFill="1" applyBorder="1" applyAlignment="1">
      <alignment horizontal="center"/>
    </xf>
    <xf numFmtId="3" fontId="40" fillId="40" borderId="35" xfId="0" applyNumberFormat="1" applyFont="1" applyFill="1" applyBorder="1" applyAlignment="1">
      <alignment horizontal="center"/>
    </xf>
    <xf numFmtId="41" fontId="40" fillId="38" borderId="12" xfId="0" applyNumberFormat="1" applyFont="1" applyFill="1" applyBorder="1" applyAlignment="1">
      <alignment horizontal="center"/>
    </xf>
    <xf numFmtId="0" fontId="5" fillId="0" borderId="0" xfId="0" applyFont="1"/>
    <xf numFmtId="0" fontId="5" fillId="0" borderId="0" xfId="0" applyFont="1" applyAlignment="1">
      <alignment horizontal="center"/>
    </xf>
    <xf numFmtId="0" fontId="0" fillId="43" borderId="1" xfId="0" applyFill="1" applyBorder="1" applyAlignment="1">
      <alignment horizontal="center"/>
    </xf>
    <xf numFmtId="0" fontId="6" fillId="43" borderId="1" xfId="0" applyFont="1" applyFill="1" applyBorder="1" applyAlignment="1">
      <alignment horizontal="center"/>
    </xf>
    <xf numFmtId="0" fontId="5" fillId="0" borderId="1" xfId="0" applyFont="1" applyBorder="1" applyAlignment="1">
      <alignment horizontal="center"/>
    </xf>
    <xf numFmtId="2" fontId="6" fillId="0" borderId="1" xfId="0" applyNumberFormat="1" applyFont="1" applyBorder="1" applyAlignment="1">
      <alignment horizontal="center"/>
    </xf>
    <xf numFmtId="0" fontId="5" fillId="3" borderId="1" xfId="0" applyFont="1" applyFill="1" applyBorder="1" applyAlignment="1">
      <alignment horizontal="center"/>
    </xf>
    <xf numFmtId="0" fontId="0" fillId="0" borderId="1" xfId="0" applyBorder="1" applyAlignment="1">
      <alignment horizontal="center" vertical="center"/>
    </xf>
    <xf numFmtId="4" fontId="5" fillId="3" borderId="0" xfId="0" applyNumberFormat="1" applyFont="1" applyFill="1" applyAlignment="1">
      <alignment horizontal="center"/>
    </xf>
    <xf numFmtId="164" fontId="27" fillId="0" borderId="1" xfId="0" applyNumberFormat="1" applyFont="1" applyBorder="1" applyAlignment="1">
      <alignment horizontal="center"/>
    </xf>
    <xf numFmtId="164" fontId="38" fillId="0" borderId="1" xfId="0" applyNumberFormat="1" applyFont="1" applyBorder="1" applyAlignment="1">
      <alignment horizontal="center"/>
    </xf>
    <xf numFmtId="44" fontId="44" fillId="0" borderId="0" xfId="0" applyNumberFormat="1" applyFont="1"/>
    <xf numFmtId="0" fontId="6" fillId="0" borderId="0" xfId="0" applyFont="1"/>
    <xf numFmtId="0" fontId="6" fillId="0" borderId="2" xfId="0" applyFont="1" applyBorder="1" applyAlignment="1">
      <alignment horizontal="center" vertical="center"/>
    </xf>
    <xf numFmtId="44" fontId="6" fillId="0" borderId="2" xfId="31" applyBorder="1" applyAlignment="1">
      <alignment horizontal="center" vertical="center" wrapText="1"/>
    </xf>
    <xf numFmtId="0" fontId="6" fillId="0" borderId="0" xfId="0" applyFont="1" applyAlignment="1">
      <alignment horizontal="center" wrapText="1"/>
    </xf>
    <xf numFmtId="0" fontId="6" fillId="0" borderId="0" xfId="0" applyFont="1" applyAlignment="1">
      <alignment horizontal="center"/>
    </xf>
    <xf numFmtId="0" fontId="6" fillId="0" borderId="3" xfId="0" applyFont="1" applyBorder="1"/>
    <xf numFmtId="8" fontId="6" fillId="0" borderId="19" xfId="0" applyNumberFormat="1" applyFont="1" applyBorder="1"/>
    <xf numFmtId="44" fontId="6" fillId="0" borderId="62" xfId="31" applyBorder="1" applyAlignment="1">
      <alignment horizontal="right"/>
    </xf>
    <xf numFmtId="44" fontId="6" fillId="0" borderId="3" xfId="31" applyBorder="1" applyAlignment="1">
      <alignment horizontal="right"/>
    </xf>
    <xf numFmtId="8" fontId="6" fillId="0" borderId="13" xfId="0" applyNumberFormat="1" applyFont="1" applyBorder="1"/>
    <xf numFmtId="44" fontId="6" fillId="0" borderId="1" xfId="31" applyBorder="1" applyAlignment="1">
      <alignment horizontal="right"/>
    </xf>
    <xf numFmtId="0" fontId="6" fillId="0" borderId="5" xfId="0" applyFont="1" applyBorder="1"/>
    <xf numFmtId="44" fontId="6" fillId="0" borderId="0" xfId="0" applyNumberFormat="1" applyFont="1"/>
    <xf numFmtId="8" fontId="6" fillId="0" borderId="55" xfId="0" applyNumberFormat="1" applyFont="1" applyBorder="1"/>
    <xf numFmtId="0" fontId="6" fillId="0" borderId="55" xfId="0" applyFont="1" applyBorder="1"/>
    <xf numFmtId="0" fontId="6" fillId="0" borderId="8" xfId="0" applyFont="1" applyBorder="1"/>
    <xf numFmtId="0" fontId="6" fillId="0" borderId="9" xfId="0" applyFont="1" applyBorder="1"/>
    <xf numFmtId="0" fontId="6" fillId="0" borderId="63" xfId="0" applyFont="1" applyBorder="1"/>
    <xf numFmtId="44" fontId="6" fillId="0" borderId="8" xfId="31" applyBorder="1" applyAlignment="1">
      <alignment horizontal="right"/>
    </xf>
    <xf numFmtId="0" fontId="6" fillId="0" borderId="32" xfId="0" applyFont="1" applyBorder="1"/>
    <xf numFmtId="8" fontId="6" fillId="0" borderId="33" xfId="0" applyNumberFormat="1" applyFont="1" applyBorder="1"/>
    <xf numFmtId="8" fontId="6" fillId="0" borderId="15" xfId="0" applyNumberFormat="1" applyFont="1" applyBorder="1"/>
    <xf numFmtId="44" fontId="6" fillId="0" borderId="16" xfId="31" applyBorder="1" applyAlignment="1">
      <alignment horizontal="right"/>
    </xf>
    <xf numFmtId="44" fontId="6" fillId="0" borderId="32" xfId="31" applyBorder="1" applyAlignment="1">
      <alignment horizontal="right"/>
    </xf>
    <xf numFmtId="44" fontId="6" fillId="0" borderId="1" xfId="0" applyNumberFormat="1" applyFont="1" applyBorder="1"/>
    <xf numFmtId="0" fontId="6" fillId="0" borderId="1" xfId="0" applyFont="1" applyBorder="1" applyAlignment="1">
      <alignment horizontal="right"/>
    </xf>
    <xf numFmtId="44" fontId="6" fillId="0" borderId="15" xfId="31" applyBorder="1" applyAlignment="1">
      <alignment horizontal="right"/>
    </xf>
    <xf numFmtId="0" fontId="6" fillId="0" borderId="47" xfId="0" applyFont="1" applyBorder="1"/>
    <xf numFmtId="44" fontId="6" fillId="0" borderId="13" xfId="31" applyBorder="1" applyAlignment="1">
      <alignment horizontal="right"/>
    </xf>
    <xf numFmtId="43" fontId="6" fillId="0" borderId="0" xfId="28"/>
    <xf numFmtId="43" fontId="6" fillId="0" borderId="1" xfId="28" applyBorder="1"/>
    <xf numFmtId="44" fontId="6" fillId="0" borderId="19" xfId="31" applyBorder="1" applyAlignment="1">
      <alignment horizontal="right"/>
    </xf>
    <xf numFmtId="44" fontId="6" fillId="0" borderId="59" xfId="31" applyBorder="1" applyAlignment="1">
      <alignment horizontal="right"/>
    </xf>
    <xf numFmtId="44" fontId="6" fillId="0" borderId="67" xfId="31" applyBorder="1" applyAlignment="1">
      <alignment horizontal="right"/>
    </xf>
    <xf numFmtId="8" fontId="6" fillId="0" borderId="0" xfId="0" applyNumberFormat="1" applyFont="1"/>
    <xf numFmtId="44" fontId="6" fillId="0" borderId="0" xfId="31" applyAlignment="1">
      <alignment horizontal="right"/>
    </xf>
    <xf numFmtId="0" fontId="90" fillId="0" borderId="0" xfId="0" applyFont="1"/>
    <xf numFmtId="0" fontId="91" fillId="0" borderId="98" xfId="64" applyFont="1" applyBorder="1"/>
    <xf numFmtId="8" fontId="5" fillId="0" borderId="13" xfId="0" applyNumberFormat="1" applyFont="1" applyBorder="1"/>
    <xf numFmtId="0" fontId="88" fillId="0" borderId="98" xfId="63" applyBorder="1"/>
    <xf numFmtId="0" fontId="88" fillId="0" borderId="58" xfId="63" applyBorder="1" applyAlignment="1">
      <alignment horizontal="right"/>
    </xf>
    <xf numFmtId="44" fontId="5" fillId="0" borderId="1" xfId="31" applyFont="1" applyBorder="1" applyAlignment="1">
      <alignment horizontal="right"/>
    </xf>
    <xf numFmtId="8" fontId="5" fillId="0" borderId="55" xfId="0" applyNumberFormat="1" applyFont="1" applyBorder="1"/>
    <xf numFmtId="0" fontId="5" fillId="0" borderId="5" xfId="0" applyFont="1" applyBorder="1"/>
    <xf numFmtId="44" fontId="5" fillId="0" borderId="8" xfId="31" applyFont="1" applyBorder="1" applyAlignment="1">
      <alignment horizontal="right"/>
    </xf>
    <xf numFmtId="0" fontId="5" fillId="0" borderId="63" xfId="0" applyFont="1" applyBorder="1"/>
    <xf numFmtId="0" fontId="6" fillId="0" borderId="13" xfId="0" applyFont="1" applyBorder="1"/>
    <xf numFmtId="0" fontId="88" fillId="0" borderId="0" xfId="63" applyAlignment="1">
      <alignment horizontal="right"/>
    </xf>
    <xf numFmtId="0" fontId="93" fillId="0" borderId="98" xfId="63" applyFont="1" applyBorder="1"/>
    <xf numFmtId="44" fontId="7" fillId="0" borderId="0" xfId="0" applyNumberFormat="1" applyFont="1"/>
    <xf numFmtId="8" fontId="7" fillId="0" borderId="13" xfId="0" applyNumberFormat="1" applyFont="1" applyBorder="1"/>
    <xf numFmtId="0" fontId="25" fillId="0" borderId="2" xfId="0" applyFont="1" applyBorder="1" applyAlignment="1">
      <alignment horizontal="center" vertical="center"/>
    </xf>
    <xf numFmtId="44" fontId="25" fillId="0" borderId="2" xfId="31" applyFont="1" applyBorder="1" applyAlignment="1">
      <alignment horizontal="center" vertical="center" wrapText="1"/>
    </xf>
    <xf numFmtId="0" fontId="5" fillId="0" borderId="46" xfId="0" applyFont="1" applyBorder="1" applyAlignment="1">
      <alignment wrapText="1"/>
    </xf>
    <xf numFmtId="44" fontId="6" fillId="0" borderId="66" xfId="31" applyBorder="1" applyAlignment="1">
      <alignment horizontal="right"/>
    </xf>
    <xf numFmtId="44" fontId="6" fillId="0" borderId="46" xfId="31" applyBorder="1" applyAlignment="1">
      <alignment horizontal="right"/>
    </xf>
    <xf numFmtId="44" fontId="5" fillId="0" borderId="46" xfId="31" applyFont="1" applyBorder="1" applyAlignment="1">
      <alignment horizontal="right"/>
    </xf>
    <xf numFmtId="0" fontId="5" fillId="0" borderId="3" xfId="0" applyFont="1" applyBorder="1"/>
    <xf numFmtId="8" fontId="6" fillId="0" borderId="4" xfId="0" applyNumberFormat="1" applyFont="1" applyBorder="1"/>
    <xf numFmtId="8" fontId="6" fillId="0" borderId="12" xfId="0" applyNumberFormat="1" applyFont="1" applyBorder="1"/>
    <xf numFmtId="8" fontId="5" fillId="0" borderId="5" xfId="0" applyNumberFormat="1" applyFont="1" applyBorder="1"/>
    <xf numFmtId="0" fontId="5" fillId="0" borderId="9" xfId="0" applyFont="1" applyBorder="1"/>
    <xf numFmtId="0" fontId="5" fillId="0" borderId="32" xfId="0" applyFont="1" applyBorder="1"/>
    <xf numFmtId="0" fontId="6" fillId="0" borderId="33" xfId="0" applyFont="1" applyBorder="1" applyAlignment="1">
      <alignment horizontal="left" vertical="center" wrapText="1"/>
    </xf>
    <xf numFmtId="0" fontId="6" fillId="0" borderId="15" xfId="0" applyFont="1" applyBorder="1" applyAlignment="1">
      <alignment horizontal="left" vertical="center" wrapText="1"/>
    </xf>
    <xf numFmtId="0" fontId="5" fillId="0" borderId="46" xfId="0" applyFont="1" applyBorder="1"/>
    <xf numFmtId="44" fontId="6" fillId="0" borderId="33" xfId="31" applyBorder="1" applyAlignment="1">
      <alignment horizontal="right"/>
    </xf>
    <xf numFmtId="0" fontId="5" fillId="0" borderId="3" xfId="0" applyFont="1" applyBorder="1" applyAlignment="1">
      <alignment wrapText="1"/>
    </xf>
    <xf numFmtId="44" fontId="6" fillId="0" borderId="12" xfId="31" applyBorder="1" applyAlignment="1">
      <alignment horizontal="right"/>
    </xf>
    <xf numFmtId="44" fontId="5" fillId="0" borderId="68" xfId="31" applyFont="1" applyBorder="1" applyAlignment="1">
      <alignment horizontal="right"/>
    </xf>
    <xf numFmtId="0" fontId="6" fillId="0" borderId="15" xfId="0" applyFont="1" applyBorder="1" applyAlignment="1">
      <alignment horizontal="left" vertical="center"/>
    </xf>
    <xf numFmtId="40" fontId="6" fillId="0" borderId="15" xfId="0" applyNumberFormat="1" applyFont="1" applyBorder="1" applyAlignment="1">
      <alignment horizontal="right" vertical="center" wrapText="1"/>
    </xf>
    <xf numFmtId="43" fontId="6" fillId="0" borderId="0" xfId="0" applyNumberFormat="1" applyFont="1"/>
    <xf numFmtId="0" fontId="5" fillId="0" borderId="68" xfId="0" applyFont="1" applyBorder="1"/>
    <xf numFmtId="44" fontId="6" fillId="0" borderId="68" xfId="31" applyBorder="1" applyAlignment="1">
      <alignment horizontal="right"/>
    </xf>
    <xf numFmtId="0" fontId="5" fillId="0" borderId="1" xfId="0" applyFont="1" applyBorder="1"/>
    <xf numFmtId="44" fontId="6" fillId="0" borderId="27" xfId="31" applyBorder="1" applyAlignment="1">
      <alignment horizontal="right"/>
    </xf>
    <xf numFmtId="0" fontId="5" fillId="0" borderId="68" xfId="0" applyFont="1" applyBorder="1" applyAlignment="1">
      <alignment horizontal="center" wrapText="1"/>
    </xf>
    <xf numFmtId="8" fontId="6" fillId="0" borderId="32" xfId="31" applyNumberFormat="1" applyBorder="1" applyAlignment="1">
      <alignment horizontal="right"/>
    </xf>
    <xf numFmtId="0" fontId="5" fillId="0" borderId="68" xfId="0" applyFont="1" applyBorder="1" applyAlignment="1">
      <alignment wrapText="1"/>
    </xf>
    <xf numFmtId="0" fontId="5" fillId="0" borderId="27" xfId="0" applyFont="1" applyBorder="1"/>
    <xf numFmtId="0" fontId="6" fillId="0" borderId="31" xfId="0" applyFont="1" applyBorder="1"/>
    <xf numFmtId="0" fontId="25" fillId="0" borderId="56" xfId="0" applyFont="1" applyBorder="1" applyAlignment="1">
      <alignment horizontal="center"/>
    </xf>
    <xf numFmtId="0" fontId="25" fillId="0" borderId="64" xfId="0" applyFont="1" applyBorder="1" applyAlignment="1">
      <alignment horizontal="center"/>
    </xf>
    <xf numFmtId="0" fontId="25" fillId="0" borderId="65" xfId="0" applyFont="1" applyBorder="1" applyAlignment="1">
      <alignment horizontal="center"/>
    </xf>
    <xf numFmtId="44" fontId="25" fillId="0" borderId="65" xfId="31" applyFont="1" applyBorder="1" applyAlignment="1">
      <alignment horizontal="right"/>
    </xf>
    <xf numFmtId="44" fontId="25" fillId="0" borderId="60" xfId="31" applyFont="1" applyBorder="1" applyAlignment="1">
      <alignment horizontal="right"/>
    </xf>
    <xf numFmtId="44" fontId="25" fillId="0" borderId="40" xfId="31" applyFont="1" applyBorder="1" applyAlignment="1">
      <alignment horizontal="center"/>
    </xf>
    <xf numFmtId="8" fontId="6" fillId="0" borderId="1" xfId="31" applyNumberFormat="1" applyBorder="1" applyAlignment="1">
      <alignment horizontal="right"/>
    </xf>
    <xf numFmtId="44" fontId="92" fillId="0" borderId="8" xfId="31" applyFont="1" applyBorder="1" applyAlignment="1">
      <alignment horizontal="right"/>
    </xf>
    <xf numFmtId="8" fontId="6" fillId="0" borderId="63" xfId="0" applyNumberFormat="1" applyFont="1" applyBorder="1"/>
    <xf numFmtId="8" fontId="5" fillId="0" borderId="63" xfId="0" applyNumberFormat="1" applyFont="1" applyBorder="1"/>
    <xf numFmtId="44" fontId="6" fillId="0" borderId="71" xfId="0" applyNumberFormat="1" applyFont="1" applyBorder="1"/>
    <xf numFmtId="44" fontId="6" fillId="0" borderId="0" xfId="31"/>
    <xf numFmtId="0" fontId="94" fillId="0" borderId="0" xfId="0" applyFont="1"/>
    <xf numFmtId="0" fontId="46" fillId="0" borderId="0" xfId="0" applyFont="1" applyAlignment="1">
      <alignment horizontal="center"/>
    </xf>
    <xf numFmtId="44" fontId="39" fillId="0" borderId="0" xfId="0" applyNumberFormat="1" applyFont="1" applyAlignment="1">
      <alignment horizontal="center"/>
    </xf>
    <xf numFmtId="0" fontId="54" fillId="0" borderId="0" xfId="0" applyFont="1" applyAlignment="1">
      <alignment horizontal="center"/>
    </xf>
    <xf numFmtId="0" fontId="35" fillId="0" borderId="1" xfId="0" applyFont="1" applyBorder="1" applyAlignment="1">
      <alignment horizontal="center"/>
    </xf>
    <xf numFmtId="40" fontId="46" fillId="0" borderId="0" xfId="0" applyNumberFormat="1" applyFont="1"/>
    <xf numFmtId="0" fontId="46" fillId="0" borderId="50" xfId="0" applyFont="1" applyBorder="1"/>
    <xf numFmtId="0" fontId="57" fillId="0" borderId="0" xfId="0" applyFont="1" applyAlignment="1">
      <alignment horizontal="left" vertical="center"/>
    </xf>
    <xf numFmtId="44" fontId="58" fillId="0" borderId="0" xfId="0" applyNumberFormat="1" applyFont="1" applyAlignment="1">
      <alignment horizontal="center" vertical="center"/>
    </xf>
    <xf numFmtId="0" fontId="58" fillId="0" borderId="0" xfId="0" applyFont="1" applyAlignment="1">
      <alignment vertical="center"/>
    </xf>
    <xf numFmtId="0" fontId="46" fillId="0" borderId="0" xfId="0" applyFont="1" applyAlignment="1">
      <alignment horizontal="left" vertical="center"/>
    </xf>
    <xf numFmtId="44" fontId="57" fillId="0" borderId="0" xfId="31" applyFont="1" applyAlignment="1">
      <alignment horizontal="right" vertical="center"/>
    </xf>
    <xf numFmtId="0" fontId="46" fillId="0" borderId="55" xfId="0" applyFont="1" applyBorder="1"/>
    <xf numFmtId="0" fontId="46" fillId="0" borderId="13" xfId="0" applyFont="1" applyBorder="1"/>
    <xf numFmtId="0" fontId="35" fillId="0" borderId="74" xfId="0" applyFont="1" applyBorder="1"/>
    <xf numFmtId="0" fontId="7" fillId="0" borderId="76" xfId="0" applyFont="1" applyBorder="1"/>
    <xf numFmtId="167" fontId="35" fillId="5" borderId="48" xfId="0" applyNumberFormat="1" applyFont="1" applyFill="1" applyBorder="1" applyAlignment="1">
      <alignment horizontal="right"/>
    </xf>
    <xf numFmtId="0" fontId="46" fillId="5" borderId="0" xfId="0" applyFont="1" applyFill="1"/>
    <xf numFmtId="10" fontId="46" fillId="0" borderId="3" xfId="0" applyNumberFormat="1" applyFont="1" applyBorder="1" applyAlignment="1">
      <alignment horizontal="center" wrapText="1"/>
    </xf>
    <xf numFmtId="0" fontId="39" fillId="0" borderId="52" xfId="0" applyFont="1" applyBorder="1"/>
    <xf numFmtId="0" fontId="96" fillId="0" borderId="0" xfId="0" applyFont="1" applyAlignment="1">
      <alignment horizontal="right"/>
    </xf>
    <xf numFmtId="8" fontId="62" fillId="0" borderId="0" xfId="0" applyNumberFormat="1" applyFont="1" applyAlignment="1">
      <alignment horizontal="center"/>
    </xf>
    <xf numFmtId="42" fontId="62" fillId="0" borderId="0" xfId="0" applyNumberFormat="1" applyFont="1"/>
    <xf numFmtId="42" fontId="50" fillId="42" borderId="2" xfId="0" applyNumberFormat="1" applyFont="1" applyFill="1" applyBorder="1" applyAlignment="1">
      <alignment horizontal="center"/>
    </xf>
    <xf numFmtId="3" fontId="40" fillId="38" borderId="38" xfId="0" applyNumberFormat="1" applyFont="1" applyFill="1" applyBorder="1" applyAlignment="1">
      <alignment horizontal="center"/>
    </xf>
    <xf numFmtId="3" fontId="41" fillId="0" borderId="29" xfId="0" applyNumberFormat="1" applyFont="1" applyBorder="1" applyAlignment="1">
      <alignment horizontal="center"/>
    </xf>
    <xf numFmtId="3" fontId="41" fillId="0" borderId="34" xfId="0" applyNumberFormat="1" applyFont="1" applyBorder="1" applyAlignment="1">
      <alignment horizontal="center"/>
    </xf>
    <xf numFmtId="166" fontId="40" fillId="0" borderId="56" xfId="28" applyNumberFormat="1" applyFont="1" applyBorder="1" applyAlignment="1">
      <alignment horizontal="center"/>
    </xf>
    <xf numFmtId="43" fontId="0" fillId="0" borderId="0" xfId="28" applyFont="1"/>
    <xf numFmtId="44" fontId="5" fillId="0" borderId="3" xfId="31" applyFont="1" applyBorder="1" applyAlignment="1">
      <alignment horizontal="right"/>
    </xf>
    <xf numFmtId="0" fontId="7" fillId="0" borderId="1" xfId="0" applyFont="1" applyBorder="1"/>
    <xf numFmtId="4" fontId="6" fillId="0" borderId="12" xfId="95" applyNumberFormat="1" applyBorder="1"/>
    <xf numFmtId="4" fontId="6" fillId="0" borderId="13" xfId="95" applyNumberFormat="1" applyBorder="1"/>
    <xf numFmtId="44" fontId="6" fillId="0" borderId="13" xfId="95" applyNumberFormat="1" applyBorder="1"/>
    <xf numFmtId="4" fontId="6" fillId="0" borderId="45" xfId="95" applyNumberFormat="1" applyBorder="1"/>
    <xf numFmtId="3" fontId="6" fillId="0" borderId="2" xfId="95" applyNumberFormat="1" applyBorder="1"/>
    <xf numFmtId="3" fontId="39" fillId="0" borderId="3" xfId="95" applyNumberFormat="1" applyFont="1" applyBorder="1" applyAlignment="1">
      <alignment horizontal="right"/>
    </xf>
    <xf numFmtId="37" fontId="9" fillId="0" borderId="1" xfId="0" applyNumberFormat="1" applyFont="1" applyBorder="1" applyAlignment="1">
      <alignment horizontal="center"/>
    </xf>
    <xf numFmtId="0" fontId="9" fillId="0" borderId="13" xfId="0" quotePrefix="1" applyFont="1" applyBorder="1" applyAlignment="1">
      <alignment horizontal="center"/>
    </xf>
    <xf numFmtId="0" fontId="9" fillId="0" borderId="13" xfId="0" applyFont="1" applyBorder="1" applyAlignment="1">
      <alignment horizontal="center"/>
    </xf>
    <xf numFmtId="8" fontId="5" fillId="0" borderId="61" xfId="0" applyNumberFormat="1" applyFont="1" applyBorder="1"/>
    <xf numFmtId="0" fontId="88" fillId="0" borderId="58" xfId="63" applyBorder="1" applyAlignment="1">
      <alignment horizontal="left"/>
    </xf>
    <xf numFmtId="0" fontId="5" fillId="0" borderId="56" xfId="0" applyFont="1" applyBorder="1" applyAlignment="1">
      <alignment horizontal="center"/>
    </xf>
    <xf numFmtId="0" fontId="5" fillId="0" borderId="64" xfId="0" applyFont="1" applyBorder="1" applyAlignment="1">
      <alignment horizontal="center"/>
    </xf>
    <xf numFmtId="0" fontId="5" fillId="0" borderId="65" xfId="0" applyFont="1" applyBorder="1" applyAlignment="1">
      <alignment horizontal="center"/>
    </xf>
    <xf numFmtId="44" fontId="5" fillId="0" borderId="65" xfId="31" applyFont="1" applyBorder="1" applyAlignment="1">
      <alignment horizontal="right"/>
    </xf>
    <xf numFmtId="44" fontId="5" fillId="0" borderId="60" xfId="31" applyFont="1" applyBorder="1" applyAlignment="1">
      <alignment horizontal="right"/>
    </xf>
    <xf numFmtId="44" fontId="5" fillId="0" borderId="40" xfId="31" applyFont="1" applyBorder="1" applyAlignment="1">
      <alignment horizontal="center"/>
    </xf>
    <xf numFmtId="43" fontId="5" fillId="0" borderId="0" xfId="28" applyFont="1"/>
    <xf numFmtId="0" fontId="98" fillId="0" borderId="0" xfId="0" applyFont="1" applyAlignment="1">
      <alignment horizontal="right"/>
    </xf>
    <xf numFmtId="0" fontId="5" fillId="44" borderId="0" xfId="0" applyFont="1" applyFill="1" applyAlignment="1">
      <alignment horizontal="center"/>
    </xf>
    <xf numFmtId="44" fontId="6" fillId="0" borderId="1" xfId="31" applyBorder="1"/>
    <xf numFmtId="0" fontId="39" fillId="0" borderId="13" xfId="0" applyFont="1" applyBorder="1" applyAlignment="1">
      <alignment horizontal="right"/>
    </xf>
    <xf numFmtId="44" fontId="10" fillId="0" borderId="0" xfId="31" applyFont="1"/>
    <xf numFmtId="0" fontId="39" fillId="0" borderId="100" xfId="0" applyFont="1" applyBorder="1"/>
    <xf numFmtId="0" fontId="39" fillId="0" borderId="63" xfId="0" applyFont="1" applyBorder="1"/>
    <xf numFmtId="0" fontId="39" fillId="0" borderId="8" xfId="0" applyFont="1" applyBorder="1" applyAlignment="1">
      <alignment horizontal="center"/>
    </xf>
    <xf numFmtId="40" fontId="59" fillId="0" borderId="8" xfId="0" applyNumberFormat="1" applyFont="1" applyBorder="1" applyAlignment="1">
      <alignment horizontal="right"/>
    </xf>
    <xf numFmtId="167" fontId="39" fillId="0" borderId="8" xfId="0" applyNumberFormat="1" applyFont="1" applyBorder="1" applyAlignment="1">
      <alignment horizontal="center"/>
    </xf>
    <xf numFmtId="42" fontId="39" fillId="0" borderId="79" xfId="0" applyNumberFormat="1" applyFont="1" applyBorder="1" applyAlignment="1">
      <alignment horizontal="center"/>
    </xf>
    <xf numFmtId="0" fontId="99" fillId="0" borderId="0" xfId="0" applyFont="1" applyAlignment="1">
      <alignment horizontal="left"/>
    </xf>
    <xf numFmtId="0" fontId="12" fillId="0" borderId="18" xfId="0" applyFont="1" applyBorder="1" applyAlignment="1">
      <alignment horizontal="center"/>
    </xf>
    <xf numFmtId="0" fontId="0" fillId="0" borderId="16" xfId="0" applyBorder="1"/>
    <xf numFmtId="0" fontId="11" fillId="0" borderId="0" xfId="0" applyFont="1" applyAlignment="1">
      <alignment horizontal="center"/>
    </xf>
    <xf numFmtId="3" fontId="11" fillId="0" borderId="0" xfId="0" applyNumberFormat="1" applyFont="1"/>
    <xf numFmtId="0" fontId="11" fillId="0" borderId="17" xfId="0" applyFont="1" applyBorder="1" applyAlignment="1">
      <alignment horizontal="center"/>
    </xf>
    <xf numFmtId="4" fontId="11" fillId="0" borderId="6" xfId="0" applyNumberFormat="1" applyFont="1" applyBorder="1" applyAlignment="1">
      <alignment horizontal="center"/>
    </xf>
    <xf numFmtId="4" fontId="11" fillId="0" borderId="31" xfId="0" applyNumberFormat="1" applyFont="1" applyBorder="1" applyAlignment="1">
      <alignment horizontal="center"/>
    </xf>
    <xf numFmtId="17" fontId="11" fillId="45" borderId="23" xfId="0" applyNumberFormat="1" applyFont="1" applyFill="1" applyBorder="1" applyAlignment="1">
      <alignment horizontal="left"/>
    </xf>
    <xf numFmtId="0" fontId="9" fillId="45" borderId="13" xfId="0" applyFont="1" applyFill="1" applyBorder="1" applyAlignment="1">
      <alignment horizontal="center"/>
    </xf>
    <xf numFmtId="49" fontId="9" fillId="45" borderId="13" xfId="0" applyNumberFormat="1" applyFont="1" applyFill="1" applyBorder="1" applyAlignment="1">
      <alignment horizontal="center"/>
    </xf>
    <xf numFmtId="3" fontId="9" fillId="45" borderId="1" xfId="0" applyNumberFormat="1" applyFont="1" applyFill="1" applyBorder="1" applyAlignment="1">
      <alignment horizontal="center"/>
    </xf>
    <xf numFmtId="3" fontId="17" fillId="45" borderId="28" xfId="0" applyNumberFormat="1" applyFont="1" applyFill="1" applyBorder="1" applyAlignment="1">
      <alignment horizontal="center"/>
    </xf>
    <xf numFmtId="3" fontId="16" fillId="45" borderId="36" xfId="0" applyNumberFormat="1" applyFont="1" applyFill="1" applyBorder="1" applyAlignment="1">
      <alignment horizontal="center"/>
    </xf>
    <xf numFmtId="3" fontId="11" fillId="45" borderId="1" xfId="0" applyNumberFormat="1" applyFont="1" applyFill="1" applyBorder="1" applyAlignment="1">
      <alignment horizontal="center"/>
    </xf>
    <xf numFmtId="3" fontId="11" fillId="45" borderId="5" xfId="0" applyNumberFormat="1" applyFont="1" applyFill="1" applyBorder="1" applyAlignment="1">
      <alignment horizontal="center"/>
    </xf>
    <xf numFmtId="3" fontId="16" fillId="45" borderId="28" xfId="0" applyNumberFormat="1" applyFont="1" applyFill="1" applyBorder="1" applyAlignment="1">
      <alignment horizontal="center"/>
    </xf>
    <xf numFmtId="3" fontId="11" fillId="45" borderId="28" xfId="0" applyNumberFormat="1" applyFont="1" applyFill="1" applyBorder="1" applyAlignment="1">
      <alignment horizontal="center"/>
    </xf>
    <xf numFmtId="41" fontId="41" fillId="0" borderId="3" xfId="0" applyNumberFormat="1" applyFont="1" applyBorder="1" applyAlignment="1">
      <alignment horizontal="center"/>
    </xf>
    <xf numFmtId="1" fontId="41" fillId="0" borderId="12" xfId="0" applyNumberFormat="1" applyFont="1" applyBorder="1" applyAlignment="1">
      <alignment horizontal="center"/>
    </xf>
    <xf numFmtId="17" fontId="40" fillId="0" borderId="11" xfId="0" applyNumberFormat="1" applyFont="1" applyBorder="1" applyAlignment="1">
      <alignment horizontal="center" vertical="center"/>
    </xf>
    <xf numFmtId="0" fontId="43" fillId="0" borderId="7" xfId="0" applyFont="1" applyBorder="1" applyAlignment="1">
      <alignment horizontal="center" wrapText="1"/>
    </xf>
    <xf numFmtId="0" fontId="42" fillId="0" borderId="38" xfId="0" applyFont="1" applyBorder="1"/>
    <xf numFmtId="0" fontId="6" fillId="0" borderId="0" xfId="0" applyFont="1" applyAlignment="1">
      <alignment horizontal="left"/>
    </xf>
    <xf numFmtId="0" fontId="101" fillId="0" borderId="0" xfId="0" applyFont="1"/>
    <xf numFmtId="170" fontId="50" fillId="46" borderId="0" xfId="0" applyNumberFormat="1" applyFont="1" applyFill="1"/>
    <xf numFmtId="171" fontId="54" fillId="46" borderId="2" xfId="0" applyNumberFormat="1" applyFont="1" applyFill="1" applyBorder="1" applyAlignment="1">
      <alignment horizontal="right"/>
    </xf>
    <xf numFmtId="170" fontId="54" fillId="46" borderId="2" xfId="0" applyNumberFormat="1" applyFont="1" applyFill="1" applyBorder="1" applyAlignment="1">
      <alignment horizontal="right"/>
    </xf>
    <xf numFmtId="44" fontId="47" fillId="46" borderId="7" xfId="0" applyNumberFormat="1" applyFont="1" applyFill="1" applyBorder="1" applyAlignment="1">
      <alignment horizontal="center" wrapText="1"/>
    </xf>
    <xf numFmtId="3" fontId="42" fillId="0" borderId="0" xfId="0" applyNumberFormat="1" applyFont="1" applyAlignment="1">
      <alignment horizontal="center"/>
    </xf>
    <xf numFmtId="3" fontId="43" fillId="0" borderId="0" xfId="0" applyNumberFormat="1" applyFont="1" applyAlignment="1">
      <alignment horizontal="center"/>
    </xf>
    <xf numFmtId="0" fontId="5" fillId="41" borderId="45" xfId="0" applyFont="1" applyFill="1" applyBorder="1" applyAlignment="1">
      <alignment horizontal="center" vertical="center"/>
    </xf>
    <xf numFmtId="170" fontId="0" fillId="41" borderId="43" xfId="0" applyNumberFormat="1" applyFill="1" applyBorder="1"/>
    <xf numFmtId="3" fontId="39" fillId="0" borderId="101" xfId="95" applyNumberFormat="1" applyFont="1" applyBorder="1" applyAlignment="1">
      <alignment horizontal="right"/>
    </xf>
    <xf numFmtId="170" fontId="0" fillId="0" borderId="101" xfId="0" applyNumberFormat="1" applyBorder="1"/>
    <xf numFmtId="4" fontId="0" fillId="0" borderId="59" xfId="0" applyNumberFormat="1" applyBorder="1"/>
    <xf numFmtId="3" fontId="39" fillId="0" borderId="101" xfId="0" applyNumberFormat="1" applyFont="1" applyBorder="1" applyAlignment="1">
      <alignment horizontal="right"/>
    </xf>
    <xf numFmtId="4" fontId="0" fillId="0" borderId="47" xfId="0" applyNumberFormat="1" applyBorder="1"/>
    <xf numFmtId="3" fontId="39" fillId="0" borderId="1" xfId="95" applyNumberFormat="1" applyFont="1" applyBorder="1" applyAlignment="1">
      <alignment horizontal="right"/>
    </xf>
    <xf numFmtId="167" fontId="54" fillId="46" borderId="32" xfId="0" applyNumberFormat="1" applyFont="1" applyFill="1" applyBorder="1" applyAlignment="1">
      <alignment horizontal="center"/>
    </xf>
    <xf numFmtId="167" fontId="54" fillId="46" borderId="82" xfId="0" applyNumberFormat="1" applyFont="1" applyFill="1" applyBorder="1" applyAlignment="1">
      <alignment horizontal="center"/>
    </xf>
    <xf numFmtId="3" fontId="5" fillId="46" borderId="1" xfId="0" applyNumberFormat="1" applyFont="1" applyFill="1" applyBorder="1" applyAlignment="1">
      <alignment horizontal="center"/>
    </xf>
    <xf numFmtId="17" fontId="42" fillId="0" borderId="63" xfId="0" applyNumberFormat="1" applyFont="1" applyBorder="1" applyAlignment="1">
      <alignment horizontal="left"/>
    </xf>
    <xf numFmtId="3" fontId="42" fillId="0" borderId="63" xfId="0" applyNumberFormat="1" applyFont="1" applyBorder="1" applyAlignment="1">
      <alignment horizontal="center"/>
    </xf>
    <xf numFmtId="3" fontId="43" fillId="0" borderId="63" xfId="0" applyNumberFormat="1" applyFont="1" applyBorder="1" applyAlignment="1">
      <alignment horizontal="center"/>
    </xf>
    <xf numFmtId="0" fontId="12" fillId="0" borderId="0" xfId="0" applyFont="1" applyAlignment="1">
      <alignment horizontal="center" vertical="top" wrapText="1"/>
    </xf>
    <xf numFmtId="0" fontId="68" fillId="47" borderId="11" xfId="0" applyFont="1" applyFill="1" applyBorder="1"/>
    <xf numFmtId="0" fontId="8" fillId="0" borderId="0" xfId="0" applyFont="1"/>
    <xf numFmtId="3" fontId="12" fillId="0" borderId="0" xfId="0" applyNumberFormat="1" applyFont="1" applyAlignment="1">
      <alignment horizontal="center"/>
    </xf>
    <xf numFmtId="3" fontId="16" fillId="0" borderId="0" xfId="0" applyNumberFormat="1" applyFont="1" applyAlignment="1">
      <alignment horizontal="center"/>
    </xf>
    <xf numFmtId="3" fontId="21" fillId="0" borderId="0" xfId="0" applyNumberFormat="1" applyFont="1" applyAlignment="1">
      <alignment horizontal="center"/>
    </xf>
    <xf numFmtId="3" fontId="17" fillId="0" borderId="0" xfId="0" applyNumberFormat="1" applyFont="1" applyAlignment="1">
      <alignment horizontal="center"/>
    </xf>
    <xf numFmtId="17" fontId="11" fillId="47" borderId="22" xfId="0" applyNumberFormat="1" applyFont="1" applyFill="1" applyBorder="1" applyAlignment="1">
      <alignment horizontal="left"/>
    </xf>
    <xf numFmtId="0" fontId="9" fillId="47" borderId="12" xfId="0" quotePrefix="1" applyFont="1" applyFill="1" applyBorder="1" applyAlignment="1">
      <alignment horizontal="center"/>
    </xf>
    <xf numFmtId="49" fontId="9" fillId="47" borderId="12" xfId="0" applyNumberFormat="1" applyFont="1" applyFill="1" applyBorder="1" applyAlignment="1">
      <alignment horizontal="center"/>
    </xf>
    <xf numFmtId="3" fontId="9" fillId="47" borderId="3" xfId="0" applyNumberFormat="1" applyFont="1" applyFill="1" applyBorder="1" applyAlignment="1">
      <alignment horizontal="center"/>
    </xf>
    <xf numFmtId="3" fontId="17" fillId="47" borderId="28" xfId="0" applyNumberFormat="1" applyFont="1" applyFill="1" applyBorder="1" applyAlignment="1">
      <alignment horizontal="center"/>
    </xf>
    <xf numFmtId="3" fontId="16" fillId="47" borderId="36" xfId="0" applyNumberFormat="1" applyFont="1" applyFill="1" applyBorder="1" applyAlignment="1">
      <alignment horizontal="center"/>
    </xf>
    <xf numFmtId="3" fontId="16" fillId="47" borderId="28" xfId="0" applyNumberFormat="1" applyFont="1" applyFill="1" applyBorder="1" applyAlignment="1">
      <alignment horizontal="center"/>
    </xf>
    <xf numFmtId="3" fontId="11" fillId="47" borderId="28" xfId="0" applyNumberFormat="1" applyFont="1" applyFill="1" applyBorder="1" applyAlignment="1">
      <alignment horizontal="center"/>
    </xf>
    <xf numFmtId="3" fontId="12" fillId="47" borderId="28" xfId="0" applyNumberFormat="1" applyFont="1" applyFill="1" applyBorder="1" applyAlignment="1">
      <alignment horizontal="center"/>
    </xf>
    <xf numFmtId="0" fontId="100" fillId="0" borderId="0" xfId="0" applyFont="1"/>
    <xf numFmtId="0" fontId="43" fillId="0" borderId="3" xfId="0" applyFont="1" applyBorder="1"/>
    <xf numFmtId="8" fontId="42" fillId="0" borderId="67" xfId="0" applyNumberFormat="1" applyFont="1" applyBorder="1"/>
    <xf numFmtId="6" fontId="42" fillId="0" borderId="67" xfId="0" applyNumberFormat="1" applyFont="1" applyBorder="1" applyAlignment="1">
      <alignment horizontal="center"/>
    </xf>
    <xf numFmtId="42" fontId="42" fillId="0" borderId="15" xfId="0" applyNumberFormat="1" applyFont="1" applyBorder="1" applyAlignment="1">
      <alignment horizontal="center"/>
    </xf>
    <xf numFmtId="167" fontId="42" fillId="0" borderId="3" xfId="0" applyNumberFormat="1" applyFont="1" applyBorder="1" applyAlignment="1">
      <alignment horizontal="center"/>
    </xf>
    <xf numFmtId="164" fontId="42" fillId="0" borderId="32" xfId="0" applyNumberFormat="1" applyFont="1" applyBorder="1" applyAlignment="1">
      <alignment horizontal="center"/>
    </xf>
    <xf numFmtId="167" fontId="42" fillId="0" borderId="32" xfId="0" applyNumberFormat="1" applyFont="1" applyBorder="1" applyAlignment="1">
      <alignment horizontal="center"/>
    </xf>
    <xf numFmtId="8" fontId="42" fillId="0" borderId="12" xfId="0" applyNumberFormat="1" applyFont="1" applyBorder="1"/>
    <xf numFmtId="0" fontId="46" fillId="0" borderId="55" xfId="0" applyFont="1" applyBorder="1" applyAlignment="1">
      <alignment horizontal="left"/>
    </xf>
    <xf numFmtId="0" fontId="46" fillId="0" borderId="13" xfId="0" applyFont="1" applyBorder="1" applyAlignment="1">
      <alignment horizontal="left"/>
    </xf>
    <xf numFmtId="44" fontId="5" fillId="0" borderId="0" xfId="28" applyNumberFormat="1" applyFont="1"/>
    <xf numFmtId="44" fontId="94" fillId="0" borderId="0" xfId="0" applyNumberFormat="1" applyFont="1"/>
    <xf numFmtId="0" fontId="41" fillId="0" borderId="102" xfId="0" applyFont="1" applyBorder="1"/>
    <xf numFmtId="0" fontId="41" fillId="0" borderId="103" xfId="0" applyFont="1" applyBorder="1" applyAlignment="1">
      <alignment horizontal="center"/>
    </xf>
    <xf numFmtId="170" fontId="41" fillId="0" borderId="104" xfId="0" applyNumberFormat="1" applyFont="1" applyBorder="1"/>
    <xf numFmtId="0" fontId="41" fillId="0" borderId="105" xfId="0" applyFont="1" applyBorder="1"/>
    <xf numFmtId="0" fontId="41" fillId="0" borderId="106" xfId="0" applyFont="1" applyBorder="1" applyAlignment="1">
      <alignment horizontal="center"/>
    </xf>
    <xf numFmtId="44" fontId="41" fillId="0" borderId="107" xfId="31" applyFont="1" applyBorder="1" applyAlignment="1">
      <alignment horizontal="center"/>
    </xf>
    <xf numFmtId="170" fontId="41" fillId="0" borderId="107" xfId="0" applyNumberFormat="1" applyFont="1" applyBorder="1"/>
    <xf numFmtId="0" fontId="41" fillId="0" borderId="108" xfId="0" applyFont="1" applyBorder="1"/>
    <xf numFmtId="0" fontId="41" fillId="0" borderId="109" xfId="0" applyFont="1" applyBorder="1" applyAlignment="1">
      <alignment horizontal="center"/>
    </xf>
    <xf numFmtId="44" fontId="41" fillId="0" borderId="110" xfId="31" applyFont="1" applyBorder="1" applyAlignment="1">
      <alignment horizontal="center"/>
    </xf>
    <xf numFmtId="170" fontId="41" fillId="0" borderId="110" xfId="0" applyNumberFormat="1" applyFont="1" applyBorder="1"/>
    <xf numFmtId="44" fontId="98" fillId="0" borderId="1" xfId="31" applyFont="1" applyBorder="1" applyAlignment="1">
      <alignment horizontal="right"/>
    </xf>
    <xf numFmtId="44" fontId="92" fillId="0" borderId="1" xfId="31" applyFont="1" applyBorder="1" applyAlignment="1">
      <alignment horizontal="right"/>
    </xf>
    <xf numFmtId="44" fontId="5" fillId="0" borderId="0" xfId="31" applyFont="1" applyAlignment="1">
      <alignment horizontal="right"/>
    </xf>
    <xf numFmtId="44" fontId="54" fillId="0" borderId="0" xfId="0" applyNumberFormat="1" applyFont="1"/>
    <xf numFmtId="0" fontId="35" fillId="0" borderId="0" xfId="0" applyFont="1"/>
    <xf numFmtId="40" fontId="39" fillId="0" borderId="1" xfId="0" applyNumberFormat="1" applyFont="1" applyBorder="1" applyAlignment="1">
      <alignment horizontal="right"/>
    </xf>
    <xf numFmtId="44" fontId="50" fillId="0" borderId="0" xfId="0" applyNumberFormat="1" applyFont="1" applyAlignment="1">
      <alignment horizontal="center"/>
    </xf>
    <xf numFmtId="44" fontId="63" fillId="0" borderId="1" xfId="31" applyFont="1" applyFill="1" applyBorder="1"/>
    <xf numFmtId="0" fontId="102" fillId="0" borderId="0" xfId="62" applyFont="1"/>
    <xf numFmtId="44" fontId="34" fillId="0" borderId="1" xfId="31" applyFont="1" applyFill="1" applyBorder="1"/>
    <xf numFmtId="167" fontId="47" fillId="0" borderId="1" xfId="0" applyNumberFormat="1" applyFont="1" applyBorder="1" applyAlignment="1">
      <alignment horizontal="center"/>
    </xf>
    <xf numFmtId="43" fontId="6" fillId="0" borderId="0" xfId="28" applyFont="1"/>
    <xf numFmtId="0" fontId="43" fillId="0" borderId="32" xfId="0" applyFont="1" applyBorder="1"/>
    <xf numFmtId="8" fontId="43" fillId="0" borderId="32" xfId="0" applyNumberFormat="1" applyFont="1" applyBorder="1"/>
    <xf numFmtId="8" fontId="43" fillId="0" borderId="32" xfId="0" applyNumberFormat="1" applyFont="1" applyBorder="1" applyAlignment="1">
      <alignment horizontal="center"/>
    </xf>
    <xf numFmtId="42" fontId="43" fillId="0" borderId="32" xfId="0" applyNumberFormat="1" applyFont="1" applyBorder="1" applyAlignment="1">
      <alignment horizontal="center"/>
    </xf>
    <xf numFmtId="44" fontId="6" fillId="0" borderId="62" xfId="31" applyFill="1" applyBorder="1" applyAlignment="1">
      <alignment horizontal="right"/>
    </xf>
    <xf numFmtId="44" fontId="6" fillId="0" borderId="3" xfId="31" applyFill="1" applyBorder="1" applyAlignment="1">
      <alignment horizontal="right"/>
    </xf>
    <xf numFmtId="44" fontId="6" fillId="0" borderId="1" xfId="31" applyFill="1" applyBorder="1" applyAlignment="1">
      <alignment horizontal="right"/>
    </xf>
    <xf numFmtId="44" fontId="5" fillId="0" borderId="1" xfId="31" applyFont="1" applyFill="1" applyBorder="1" applyAlignment="1">
      <alignment horizontal="right"/>
    </xf>
    <xf numFmtId="44" fontId="5" fillId="0" borderId="8" xfId="31" applyFont="1" applyFill="1" applyBorder="1" applyAlignment="1">
      <alignment horizontal="right"/>
    </xf>
    <xf numFmtId="44" fontId="6" fillId="0" borderId="15" xfId="31" applyFill="1" applyBorder="1" applyAlignment="1">
      <alignment horizontal="right"/>
    </xf>
    <xf numFmtId="44" fontId="6" fillId="0" borderId="32" xfId="31" applyFill="1" applyBorder="1" applyAlignment="1">
      <alignment horizontal="right"/>
    </xf>
    <xf numFmtId="4" fontId="0" fillId="48" borderId="47" xfId="0" applyNumberFormat="1" applyFill="1" applyBorder="1"/>
    <xf numFmtId="3" fontId="39" fillId="48" borderId="101" xfId="0" applyNumberFormat="1" applyFont="1" applyFill="1" applyBorder="1" applyAlignment="1">
      <alignment horizontal="right"/>
    </xf>
    <xf numFmtId="170" fontId="0" fillId="48" borderId="101" xfId="0" applyNumberFormat="1" applyFill="1" applyBorder="1"/>
    <xf numFmtId="4" fontId="0" fillId="48" borderId="1" xfId="0" applyNumberFormat="1" applyFill="1" applyBorder="1"/>
    <xf numFmtId="3" fontId="39" fillId="48" borderId="1" xfId="0" applyNumberFormat="1" applyFont="1" applyFill="1" applyBorder="1" applyAlignment="1">
      <alignment horizontal="right"/>
    </xf>
    <xf numFmtId="170" fontId="0" fillId="48" borderId="1" xfId="0" applyNumberFormat="1" applyFill="1" applyBorder="1"/>
    <xf numFmtId="3" fontId="39" fillId="48" borderId="3" xfId="0" applyNumberFormat="1" applyFont="1" applyFill="1" applyBorder="1" applyAlignment="1">
      <alignment horizontal="right"/>
    </xf>
    <xf numFmtId="170" fontId="0" fillId="48" borderId="3" xfId="0" applyNumberFormat="1" applyFill="1" applyBorder="1"/>
    <xf numFmtId="44" fontId="0" fillId="48" borderId="1" xfId="0" applyNumberFormat="1" applyFill="1" applyBorder="1"/>
    <xf numFmtId="0" fontId="68" fillId="40" borderId="11" xfId="0" applyFont="1" applyFill="1" applyBorder="1"/>
    <xf numFmtId="17" fontId="11" fillId="40" borderId="22" xfId="0" applyNumberFormat="1" applyFont="1" applyFill="1" applyBorder="1" applyAlignment="1">
      <alignment horizontal="left"/>
    </xf>
    <xf numFmtId="0" fontId="9" fillId="40" borderId="12" xfId="0" quotePrefix="1" applyFont="1" applyFill="1" applyBorder="1" applyAlignment="1">
      <alignment horizontal="center"/>
    </xf>
    <xf numFmtId="49" fontId="9" fillId="40" borderId="12" xfId="0" applyNumberFormat="1" applyFont="1" applyFill="1" applyBorder="1" applyAlignment="1">
      <alignment horizontal="center"/>
    </xf>
    <xf numFmtId="3" fontId="9" fillId="40" borderId="3" xfId="0" applyNumberFormat="1" applyFont="1" applyFill="1" applyBorder="1" applyAlignment="1">
      <alignment horizontal="center"/>
    </xf>
    <xf numFmtId="3" fontId="17" fillId="40" borderId="28" xfId="0" applyNumberFormat="1" applyFont="1" applyFill="1" applyBorder="1" applyAlignment="1">
      <alignment horizontal="center"/>
    </xf>
    <xf numFmtId="3" fontId="16" fillId="40" borderId="36" xfId="0" applyNumberFormat="1" applyFont="1" applyFill="1" applyBorder="1" applyAlignment="1">
      <alignment horizontal="center"/>
    </xf>
    <xf numFmtId="3" fontId="11" fillId="40" borderId="3" xfId="0" applyNumberFormat="1" applyFont="1" applyFill="1" applyBorder="1" applyAlignment="1">
      <alignment horizontal="center"/>
    </xf>
    <xf numFmtId="3" fontId="11" fillId="40" borderId="4" xfId="0" applyNumberFormat="1" applyFont="1" applyFill="1" applyBorder="1" applyAlignment="1">
      <alignment horizontal="center"/>
    </xf>
    <xf numFmtId="3" fontId="16" fillId="40" borderId="28" xfId="0" applyNumberFormat="1" applyFont="1" applyFill="1" applyBorder="1" applyAlignment="1">
      <alignment horizontal="center"/>
    </xf>
    <xf numFmtId="3" fontId="11" fillId="40" borderId="28" xfId="0" applyNumberFormat="1" applyFont="1" applyFill="1" applyBorder="1" applyAlignment="1">
      <alignment horizontal="center"/>
    </xf>
    <xf numFmtId="3" fontId="12" fillId="40" borderId="28" xfId="0" applyNumberFormat="1" applyFont="1" applyFill="1" applyBorder="1" applyAlignment="1">
      <alignment horizontal="center"/>
    </xf>
    <xf numFmtId="175" fontId="0" fillId="0" borderId="0" xfId="0" applyNumberFormat="1"/>
    <xf numFmtId="37" fontId="0" fillId="0" borderId="0" xfId="0" applyNumberFormat="1"/>
    <xf numFmtId="37" fontId="40" fillId="38" borderId="11" xfId="0" applyNumberFormat="1" applyFont="1" applyFill="1" applyBorder="1" applyAlignment="1">
      <alignment horizontal="center"/>
    </xf>
    <xf numFmtId="37" fontId="39" fillId="0" borderId="0" xfId="0" applyNumberFormat="1" applyFont="1"/>
    <xf numFmtId="1" fontId="41" fillId="0" borderId="15" xfId="0" applyNumberFormat="1" applyFont="1" applyBorder="1" applyAlignment="1">
      <alignment horizontal="center"/>
    </xf>
    <xf numFmtId="1" fontId="41" fillId="0" borderId="111" xfId="0" applyNumberFormat="1" applyFont="1" applyBorder="1" applyAlignment="1">
      <alignment horizontal="center"/>
    </xf>
    <xf numFmtId="17" fontId="41" fillId="49" borderId="22" xfId="0" applyNumberFormat="1" applyFont="1" applyFill="1" applyBorder="1" applyAlignment="1">
      <alignment horizontal="left"/>
    </xf>
    <xf numFmtId="3" fontId="41" fillId="49" borderId="3" xfId="0" applyNumberFormat="1" applyFont="1" applyFill="1" applyBorder="1" applyAlignment="1">
      <alignment horizontal="center"/>
    </xf>
    <xf numFmtId="3" fontId="41" fillId="49" borderId="28" xfId="0" applyNumberFormat="1" applyFont="1" applyFill="1" applyBorder="1" applyAlignment="1">
      <alignment horizontal="center"/>
    </xf>
    <xf numFmtId="3" fontId="40" fillId="49" borderId="28" xfId="0" applyNumberFormat="1" applyFont="1" applyFill="1" applyBorder="1" applyAlignment="1">
      <alignment horizontal="center"/>
    </xf>
    <xf numFmtId="8" fontId="92" fillId="0" borderId="13" xfId="0" applyNumberFormat="1" applyFont="1" applyBorder="1"/>
    <xf numFmtId="0" fontId="98" fillId="0" borderId="98" xfId="63" applyFont="1" applyBorder="1"/>
    <xf numFmtId="44" fontId="6" fillId="40" borderId="1" xfId="0" applyNumberFormat="1" applyFont="1" applyFill="1" applyBorder="1"/>
    <xf numFmtId="40" fontId="6" fillId="0" borderId="32" xfId="31" applyNumberFormat="1" applyBorder="1" applyAlignment="1">
      <alignment horizontal="right"/>
    </xf>
    <xf numFmtId="44" fontId="103" fillId="0" borderId="104" xfId="31" applyFont="1" applyBorder="1" applyAlignment="1">
      <alignment horizontal="center"/>
    </xf>
    <xf numFmtId="44" fontId="103" fillId="0" borderId="107" xfId="31" applyFont="1" applyBorder="1" applyAlignment="1">
      <alignment horizontal="center"/>
    </xf>
    <xf numFmtId="0" fontId="46" fillId="0" borderId="0" xfId="0" applyFont="1" applyAlignment="1">
      <alignment horizontal="right"/>
    </xf>
    <xf numFmtId="43" fontId="46" fillId="0" borderId="0" xfId="28" applyFont="1"/>
    <xf numFmtId="0" fontId="46" fillId="0" borderId="0" xfId="0" applyFont="1" applyAlignment="1">
      <alignment horizontal="left"/>
    </xf>
    <xf numFmtId="170" fontId="46" fillId="0" borderId="0" xfId="28" applyNumberFormat="1" applyFont="1" applyAlignment="1">
      <alignment horizontal="right"/>
    </xf>
    <xf numFmtId="43" fontId="104" fillId="0" borderId="0" xfId="28" applyFont="1" applyAlignment="1">
      <alignment horizontal="center"/>
    </xf>
    <xf numFmtId="0" fontId="96" fillId="0" borderId="0" xfId="0" applyFont="1"/>
    <xf numFmtId="44" fontId="49" fillId="0" borderId="0" xfId="0" applyNumberFormat="1" applyFont="1"/>
    <xf numFmtId="17" fontId="42" fillId="0" borderId="21" xfId="0" applyNumberFormat="1" applyFont="1" applyBorder="1" applyAlignment="1">
      <alignment horizontal="left"/>
    </xf>
    <xf numFmtId="3" fontId="42" fillId="0" borderId="68" xfId="0" applyNumberFormat="1" applyFont="1" applyBorder="1" applyAlignment="1">
      <alignment horizontal="center"/>
    </xf>
    <xf numFmtId="3" fontId="42" fillId="0" borderId="36" xfId="0" applyNumberFormat="1" applyFont="1" applyBorder="1" applyAlignment="1">
      <alignment horizontal="center"/>
    </xf>
    <xf numFmtId="3" fontId="43" fillId="0" borderId="36" xfId="0" applyNumberFormat="1" applyFont="1" applyBorder="1" applyAlignment="1">
      <alignment horizontal="center"/>
    </xf>
    <xf numFmtId="17" fontId="41" fillId="47" borderId="23" xfId="0" applyNumberFormat="1" applyFont="1" applyFill="1" applyBorder="1" applyAlignment="1">
      <alignment horizontal="left"/>
    </xf>
    <xf numFmtId="3" fontId="41" fillId="47" borderId="3" xfId="0" applyNumberFormat="1" applyFont="1" applyFill="1" applyBorder="1" applyAlignment="1">
      <alignment horizontal="center"/>
    </xf>
    <xf numFmtId="3" fontId="41" fillId="47" borderId="28" xfId="0" applyNumberFormat="1" applyFont="1" applyFill="1" applyBorder="1" applyAlignment="1">
      <alignment horizontal="center"/>
    </xf>
    <xf numFmtId="3" fontId="40" fillId="47" borderId="28" xfId="0" applyNumberFormat="1" applyFont="1" applyFill="1" applyBorder="1" applyAlignment="1">
      <alignment horizontal="center"/>
    </xf>
    <xf numFmtId="44" fontId="40" fillId="38" borderId="99" xfId="31" applyFont="1" applyFill="1" applyBorder="1"/>
    <xf numFmtId="0" fontId="68" fillId="49" borderId="11" xfId="0" applyFont="1" applyFill="1" applyBorder="1"/>
    <xf numFmtId="0" fontId="12" fillId="0" borderId="0" xfId="0" applyFont="1"/>
    <xf numFmtId="17" fontId="11" fillId="49" borderId="22" xfId="0" applyNumberFormat="1" applyFont="1" applyFill="1" applyBorder="1" applyAlignment="1">
      <alignment horizontal="left"/>
    </xf>
    <xf numFmtId="0" fontId="9" fillId="49" borderId="12" xfId="0" quotePrefix="1" applyFont="1" applyFill="1" applyBorder="1" applyAlignment="1">
      <alignment horizontal="center"/>
    </xf>
    <xf numFmtId="49" fontId="9" fillId="49" borderId="12" xfId="0" applyNumberFormat="1" applyFont="1" applyFill="1" applyBorder="1" applyAlignment="1">
      <alignment horizontal="center"/>
    </xf>
    <xf numFmtId="3" fontId="9" fillId="49" borderId="3" xfId="0" applyNumberFormat="1" applyFont="1" applyFill="1" applyBorder="1" applyAlignment="1">
      <alignment horizontal="center"/>
    </xf>
    <xf numFmtId="3" fontId="17" fillId="49" borderId="28" xfId="0" applyNumberFormat="1" applyFont="1" applyFill="1" applyBorder="1" applyAlignment="1">
      <alignment horizontal="center"/>
    </xf>
    <xf numFmtId="3" fontId="16" fillId="49" borderId="36" xfId="0" applyNumberFormat="1" applyFont="1" applyFill="1" applyBorder="1" applyAlignment="1">
      <alignment horizontal="center"/>
    </xf>
    <xf numFmtId="3" fontId="11" fillId="49" borderId="3" xfId="0" applyNumberFormat="1" applyFont="1" applyFill="1" applyBorder="1" applyAlignment="1">
      <alignment horizontal="center"/>
    </xf>
    <xf numFmtId="3" fontId="11" fillId="49" borderId="4" xfId="0" applyNumberFormat="1" applyFont="1" applyFill="1" applyBorder="1" applyAlignment="1">
      <alignment horizontal="center"/>
    </xf>
    <xf numFmtId="3" fontId="16" fillId="49" borderId="28" xfId="0" applyNumberFormat="1" applyFont="1" applyFill="1" applyBorder="1" applyAlignment="1">
      <alignment horizontal="center"/>
    </xf>
    <xf numFmtId="3" fontId="11" fillId="49" borderId="28" xfId="0" applyNumberFormat="1" applyFont="1" applyFill="1" applyBorder="1" applyAlignment="1">
      <alignment horizontal="center"/>
    </xf>
    <xf numFmtId="3" fontId="12" fillId="49" borderId="28" xfId="0" applyNumberFormat="1" applyFont="1" applyFill="1" applyBorder="1" applyAlignment="1">
      <alignment horizontal="center"/>
    </xf>
    <xf numFmtId="3" fontId="42" fillId="0" borderId="48" xfId="0" applyNumberFormat="1" applyFont="1" applyBorder="1" applyAlignment="1">
      <alignment horizontal="center"/>
    </xf>
    <xf numFmtId="3" fontId="43" fillId="0" borderId="69" xfId="0" applyNumberFormat="1" applyFont="1" applyBorder="1" applyAlignment="1">
      <alignment horizontal="center"/>
    </xf>
    <xf numFmtId="3" fontId="42" fillId="0" borderId="69" xfId="0" applyNumberFormat="1" applyFont="1" applyBorder="1" applyAlignment="1">
      <alignment horizontal="center"/>
    </xf>
    <xf numFmtId="17" fontId="42" fillId="0" borderId="69" xfId="0" applyNumberFormat="1" applyFont="1" applyBorder="1" applyAlignment="1">
      <alignment horizontal="left"/>
    </xf>
    <xf numFmtId="3" fontId="57" fillId="47" borderId="0" xfId="0" applyNumberFormat="1" applyFont="1" applyFill="1" applyAlignment="1">
      <alignment horizontal="center" vertical="center"/>
    </xf>
    <xf numFmtId="3" fontId="41" fillId="0" borderId="3" xfId="0" applyNumberFormat="1" applyFont="1" applyBorder="1" applyAlignment="1">
      <alignment horizontal="center"/>
    </xf>
    <xf numFmtId="3" fontId="41" fillId="38" borderId="3" xfId="0" applyNumberFormat="1" applyFont="1" applyFill="1" applyBorder="1" applyAlignment="1">
      <alignment horizontal="center"/>
    </xf>
    <xf numFmtId="3" fontId="41" fillId="38" borderId="28" xfId="0" applyNumberFormat="1" applyFont="1" applyFill="1" applyBorder="1" applyAlignment="1">
      <alignment horizontal="center"/>
    </xf>
    <xf numFmtId="3" fontId="41" fillId="0" borderId="32" xfId="0" applyNumberFormat="1" applyFont="1" applyBorder="1" applyAlignment="1">
      <alignment horizontal="center"/>
    </xf>
    <xf numFmtId="49" fontId="6" fillId="0" borderId="0" xfId="0" applyNumberFormat="1" applyFont="1" applyAlignment="1">
      <alignment horizontal="right"/>
    </xf>
    <xf numFmtId="44" fontId="40" fillId="47" borderId="35" xfId="31" applyFont="1" applyFill="1" applyBorder="1"/>
    <xf numFmtId="44" fontId="54" fillId="47" borderId="2" xfId="0" applyNumberFormat="1" applyFont="1" applyFill="1" applyBorder="1"/>
    <xf numFmtId="38" fontId="54" fillId="47" borderId="2" xfId="0" applyNumberFormat="1" applyFont="1" applyFill="1" applyBorder="1"/>
    <xf numFmtId="44" fontId="54" fillId="47" borderId="2" xfId="31" applyFont="1" applyFill="1" applyBorder="1"/>
    <xf numFmtId="44" fontId="54" fillId="47" borderId="45" xfId="31" applyFont="1" applyFill="1" applyBorder="1" applyAlignment="1">
      <alignment horizontal="right"/>
    </xf>
    <xf numFmtId="44" fontId="54" fillId="47" borderId="2" xfId="31" applyFont="1" applyFill="1" applyBorder="1" applyAlignment="1">
      <alignment horizontal="right"/>
    </xf>
    <xf numFmtId="44" fontId="54" fillId="47" borderId="84" xfId="31" applyFont="1" applyFill="1" applyBorder="1" applyAlignment="1">
      <alignment horizontal="right"/>
    </xf>
    <xf numFmtId="43" fontId="46" fillId="44" borderId="0" xfId="0" applyNumberFormat="1" applyFont="1" applyFill="1"/>
    <xf numFmtId="0" fontId="25" fillId="0" borderId="0" xfId="44" applyFont="1"/>
    <xf numFmtId="166" fontId="25" fillId="0" borderId="0" xfId="28" applyNumberFormat="1" applyFont="1"/>
    <xf numFmtId="0" fontId="5" fillId="50" borderId="1" xfId="0" applyFont="1" applyFill="1" applyBorder="1" applyAlignment="1">
      <alignment horizontal="center"/>
    </xf>
    <xf numFmtId="0" fontId="5" fillId="50" borderId="0" xfId="0" applyFont="1" applyFill="1" applyAlignment="1">
      <alignment horizontal="center"/>
    </xf>
    <xf numFmtId="3" fontId="5" fillId="50" borderId="0" xfId="0" applyNumberFormat="1" applyFont="1" applyFill="1" applyAlignment="1">
      <alignment horizontal="center"/>
    </xf>
    <xf numFmtId="0" fontId="107" fillId="0" borderId="0" xfId="0" applyFont="1"/>
    <xf numFmtId="0" fontId="107" fillId="0" borderId="46" xfId="0" applyFont="1" applyBorder="1"/>
    <xf numFmtId="42" fontId="107" fillId="0" borderId="46" xfId="0" applyNumberFormat="1" applyFont="1" applyBorder="1" applyAlignment="1">
      <alignment horizontal="center"/>
    </xf>
    <xf numFmtId="42" fontId="107" fillId="0" borderId="0" xfId="0" applyNumberFormat="1" applyFont="1"/>
    <xf numFmtId="0" fontId="107" fillId="0" borderId="1" xfId="0" applyFont="1" applyBorder="1"/>
    <xf numFmtId="169" fontId="107" fillId="0" borderId="1" xfId="0" applyNumberFormat="1" applyFont="1" applyBorder="1" applyAlignment="1">
      <alignment horizontal="center"/>
    </xf>
    <xf numFmtId="41" fontId="107" fillId="0" borderId="1" xfId="0" applyNumberFormat="1" applyFont="1" applyBorder="1" applyAlignment="1">
      <alignment horizontal="center"/>
    </xf>
    <xf numFmtId="0" fontId="106" fillId="0" borderId="32" xfId="0" applyFont="1" applyBorder="1"/>
    <xf numFmtId="44" fontId="106" fillId="0" borderId="32" xfId="0" applyNumberFormat="1" applyFont="1" applyBorder="1" applyAlignment="1">
      <alignment horizontal="center"/>
    </xf>
    <xf numFmtId="0" fontId="108" fillId="0" borderId="0" xfId="0" applyFont="1"/>
    <xf numFmtId="0" fontId="109" fillId="0" borderId="48" xfId="0" applyFont="1" applyBorder="1"/>
    <xf numFmtId="44" fontId="109" fillId="0" borderId="48" xfId="0" applyNumberFormat="1" applyFont="1" applyBorder="1" applyAlignment="1">
      <alignment horizontal="center"/>
    </xf>
    <xf numFmtId="0" fontId="107" fillId="0" borderId="52" xfId="0" applyFont="1" applyBorder="1"/>
    <xf numFmtId="42" fontId="107" fillId="0" borderId="52" xfId="0" applyNumberFormat="1" applyFont="1" applyBorder="1" applyAlignment="1">
      <alignment horizontal="center"/>
    </xf>
    <xf numFmtId="42" fontId="107" fillId="0" borderId="1" xfId="0" applyNumberFormat="1" applyFont="1" applyBorder="1" applyAlignment="1">
      <alignment horizontal="center"/>
    </xf>
    <xf numFmtId="44" fontId="107" fillId="0" borderId="1" xfId="0" applyNumberFormat="1" applyFont="1" applyBorder="1" applyAlignment="1">
      <alignment horizontal="center"/>
    </xf>
    <xf numFmtId="0" fontId="107" fillId="0" borderId="3" xfId="0" applyFont="1" applyBorder="1"/>
    <xf numFmtId="166" fontId="107" fillId="0" borderId="1" xfId="28" applyNumberFormat="1" applyFont="1" applyBorder="1" applyAlignment="1">
      <alignment horizontal="center"/>
    </xf>
    <xf numFmtId="44" fontId="109" fillId="0" borderId="32" xfId="0" applyNumberFormat="1" applyFont="1" applyBorder="1" applyAlignment="1">
      <alignment horizontal="center"/>
    </xf>
    <xf numFmtId="0" fontId="107" fillId="0" borderId="63" xfId="0" applyFont="1" applyBorder="1"/>
    <xf numFmtId="44" fontId="107" fillId="0" borderId="1" xfId="31" applyFont="1" applyBorder="1" applyAlignment="1">
      <alignment horizontal="center"/>
    </xf>
    <xf numFmtId="37" fontId="107" fillId="0" borderId="1" xfId="0" applyNumberFormat="1" applyFont="1" applyBorder="1" applyAlignment="1">
      <alignment horizontal="right"/>
    </xf>
    <xf numFmtId="0" fontId="109" fillId="0" borderId="0" xfId="0" applyFont="1"/>
    <xf numFmtId="0" fontId="109" fillId="0" borderId="52" xfId="0" applyFont="1" applyBorder="1"/>
    <xf numFmtId="44" fontId="109" fillId="0" borderId="52" xfId="0" applyNumberFormat="1" applyFont="1" applyBorder="1" applyAlignment="1">
      <alignment horizontal="center"/>
    </xf>
    <xf numFmtId="166" fontId="107" fillId="0" borderId="1" xfId="0" applyNumberFormat="1" applyFont="1" applyBorder="1" applyAlignment="1">
      <alignment horizontal="center"/>
    </xf>
    <xf numFmtId="0" fontId="107" fillId="0" borderId="48" xfId="0" applyFont="1" applyBorder="1"/>
    <xf numFmtId="42" fontId="107" fillId="0" borderId="48" xfId="0" applyNumberFormat="1" applyFont="1" applyBorder="1" applyAlignment="1">
      <alignment horizontal="center"/>
    </xf>
    <xf numFmtId="169" fontId="107" fillId="0" borderId="1" xfId="31" applyNumberFormat="1" applyFont="1" applyBorder="1" applyAlignment="1">
      <alignment horizontal="center"/>
    </xf>
    <xf numFmtId="0" fontId="110" fillId="0" borderId="0" xfId="0" applyFont="1"/>
    <xf numFmtId="42" fontId="107" fillId="0" borderId="0" xfId="0" applyNumberFormat="1" applyFont="1" applyAlignment="1">
      <alignment horizontal="center"/>
    </xf>
    <xf numFmtId="0" fontId="111" fillId="0" borderId="0" xfId="0" applyFont="1"/>
    <xf numFmtId="44" fontId="109" fillId="0" borderId="0" xfId="0" applyNumberFormat="1" applyFont="1" applyAlignment="1">
      <alignment horizontal="center"/>
    </xf>
    <xf numFmtId="0" fontId="40" fillId="51" borderId="2" xfId="0" applyFont="1" applyFill="1" applyBorder="1" applyAlignment="1">
      <alignment horizontal="center" vertical="center" wrapText="1"/>
    </xf>
    <xf numFmtId="44" fontId="41" fillId="51" borderId="5" xfId="0" applyNumberFormat="1" applyFont="1" applyFill="1" applyBorder="1" applyAlignment="1">
      <alignment horizontal="center"/>
    </xf>
    <xf numFmtId="44" fontId="40" fillId="51" borderId="40" xfId="0" applyNumberFormat="1" applyFont="1" applyFill="1" applyBorder="1" applyAlignment="1">
      <alignment horizontal="center"/>
    </xf>
    <xf numFmtId="44" fontId="43" fillId="51" borderId="32" xfId="31" applyFont="1" applyFill="1" applyBorder="1" applyAlignment="1">
      <alignment horizontal="center"/>
    </xf>
    <xf numFmtId="44" fontId="43" fillId="51" borderId="1" xfId="31" applyFont="1" applyFill="1" applyBorder="1" applyAlignment="1">
      <alignment horizontal="center"/>
    </xf>
    <xf numFmtId="1" fontId="50" fillId="51" borderId="56" xfId="0" applyNumberFormat="1" applyFont="1" applyFill="1" applyBorder="1" applyAlignment="1">
      <alignment horizontal="center"/>
    </xf>
    <xf numFmtId="44" fontId="50" fillId="51" borderId="56" xfId="0" applyNumberFormat="1" applyFont="1" applyFill="1" applyBorder="1" applyAlignment="1">
      <alignment horizontal="right"/>
    </xf>
    <xf numFmtId="40" fontId="6" fillId="52" borderId="0" xfId="31" applyNumberFormat="1" applyFill="1" applyAlignment="1">
      <alignment horizontal="right"/>
    </xf>
    <xf numFmtId="44" fontId="6" fillId="52" borderId="0" xfId="31" applyFill="1" applyAlignment="1">
      <alignment horizontal="right"/>
    </xf>
    <xf numFmtId="44" fontId="92" fillId="52" borderId="71" xfId="31" applyFont="1" applyFill="1" applyBorder="1" applyAlignment="1">
      <alignment horizontal="right"/>
    </xf>
    <xf numFmtId="43" fontId="6" fillId="0" borderId="0" xfId="28" applyFont="1" applyFill="1"/>
    <xf numFmtId="44" fontId="50" fillId="51" borderId="2" xfId="0" applyNumberFormat="1" applyFont="1" applyFill="1" applyBorder="1" applyAlignment="1">
      <alignment horizontal="center"/>
    </xf>
    <xf numFmtId="14" fontId="5" fillId="0" borderId="0" xfId="0" applyNumberFormat="1" applyFont="1" applyAlignment="1">
      <alignment vertical="top" wrapText="1"/>
    </xf>
    <xf numFmtId="3" fontId="9" fillId="0" borderId="19" xfId="0" applyNumberFormat="1" applyFont="1" applyBorder="1" applyAlignment="1">
      <alignment vertical="center"/>
    </xf>
    <xf numFmtId="3" fontId="9" fillId="0" borderId="19" xfId="0" applyNumberFormat="1" applyFont="1" applyBorder="1" applyAlignment="1">
      <alignment horizontal="center" vertical="center"/>
    </xf>
    <xf numFmtId="3" fontId="9" fillId="0" borderId="19" xfId="0" applyNumberFormat="1" applyFont="1" applyBorder="1" applyAlignment="1">
      <alignment horizontal="center"/>
    </xf>
    <xf numFmtId="3" fontId="9" fillId="0" borderId="25" xfId="0" applyNumberFormat="1" applyFont="1" applyBorder="1" applyAlignment="1">
      <alignment horizontal="center"/>
    </xf>
    <xf numFmtId="3" fontId="9" fillId="0" borderId="3" xfId="0" applyNumberFormat="1" applyFont="1" applyBorder="1" applyAlignment="1">
      <alignment vertical="center"/>
    </xf>
    <xf numFmtId="3" fontId="9" fillId="0" borderId="3" xfId="0" applyNumberFormat="1" applyFont="1" applyBorder="1" applyAlignment="1">
      <alignment horizontal="center" vertical="center"/>
    </xf>
    <xf numFmtId="3" fontId="9" fillId="0" borderId="3" xfId="0" applyNumberFormat="1" applyFont="1" applyBorder="1" applyAlignment="1">
      <alignment horizontal="center"/>
    </xf>
    <xf numFmtId="3" fontId="9" fillId="0" borderId="4" xfId="0" applyNumberFormat="1" applyFont="1" applyBorder="1" applyAlignment="1">
      <alignment horizontal="center"/>
    </xf>
    <xf numFmtId="3" fontId="9" fillId="0" borderId="1" xfId="0" applyNumberFormat="1" applyFont="1" applyBorder="1" applyAlignment="1">
      <alignment vertical="center"/>
    </xf>
    <xf numFmtId="3" fontId="9" fillId="0" borderId="1" xfId="0" applyNumberFormat="1" applyFont="1" applyBorder="1" applyAlignment="1">
      <alignment horizontal="center" vertical="center"/>
    </xf>
    <xf numFmtId="3" fontId="9" fillId="0" borderId="5" xfId="0" applyNumberFormat="1" applyFont="1" applyBorder="1" applyAlignment="1">
      <alignment horizontal="center"/>
    </xf>
    <xf numFmtId="3" fontId="9" fillId="47" borderId="4" xfId="0" applyNumberFormat="1" applyFont="1" applyFill="1" applyBorder="1" applyAlignment="1">
      <alignment horizontal="center"/>
    </xf>
    <xf numFmtId="40" fontId="40" fillId="0" borderId="0" xfId="0" applyNumberFormat="1" applyFont="1"/>
    <xf numFmtId="4" fontId="39" fillId="0" borderId="0" xfId="0" applyNumberFormat="1" applyFont="1"/>
    <xf numFmtId="44" fontId="53" fillId="42" borderId="40" xfId="31" applyFont="1" applyFill="1" applyBorder="1" applyAlignment="1">
      <alignment horizontal="right"/>
    </xf>
    <xf numFmtId="44" fontId="6" fillId="41" borderId="32" xfId="31" applyFill="1" applyBorder="1" applyAlignment="1">
      <alignment horizontal="center" vertical="center"/>
    </xf>
    <xf numFmtId="44" fontId="6" fillId="41" borderId="1" xfId="31" applyFill="1" applyBorder="1" applyAlignment="1">
      <alignment horizontal="center" vertical="center"/>
    </xf>
    <xf numFmtId="44" fontId="5" fillId="41" borderId="47" xfId="31" applyFont="1" applyFill="1" applyBorder="1" applyAlignment="1">
      <alignment horizontal="right"/>
    </xf>
    <xf numFmtId="44" fontId="5" fillId="41" borderId="1" xfId="31" applyFont="1" applyFill="1" applyBorder="1" applyAlignment="1">
      <alignment horizontal="center" vertical="center"/>
    </xf>
    <xf numFmtId="44" fontId="112" fillId="0" borderId="0" xfId="31" applyFont="1"/>
    <xf numFmtId="8" fontId="112" fillId="0" borderId="0" xfId="0" applyNumberFormat="1" applyFont="1"/>
    <xf numFmtId="44" fontId="112" fillId="0" borderId="0" xfId="0" applyNumberFormat="1" applyFont="1"/>
    <xf numFmtId="43" fontId="112" fillId="0" borderId="0" xfId="28" applyFont="1"/>
    <xf numFmtId="43" fontId="46" fillId="0" borderId="0" xfId="28" applyFont="1" applyAlignment="1">
      <alignment horizontal="right"/>
    </xf>
    <xf numFmtId="44" fontId="57" fillId="41" borderId="40" xfId="31" applyFont="1" applyFill="1" applyBorder="1" applyAlignment="1">
      <alignment horizontal="right" vertical="center"/>
    </xf>
    <xf numFmtId="42" fontId="50" fillId="41" borderId="2" xfId="0" applyNumberFormat="1" applyFont="1" applyFill="1" applyBorder="1"/>
    <xf numFmtId="171" fontId="54" fillId="41" borderId="2" xfId="0" applyNumberFormat="1" applyFont="1" applyFill="1" applyBorder="1" applyAlignment="1">
      <alignment horizontal="right"/>
    </xf>
    <xf numFmtId="170" fontId="54" fillId="41" borderId="2" xfId="0" applyNumberFormat="1" applyFont="1" applyFill="1" applyBorder="1" applyAlignment="1">
      <alignment horizontal="right"/>
    </xf>
    <xf numFmtId="43" fontId="41" fillId="0" borderId="0" xfId="28" applyFont="1"/>
    <xf numFmtId="0" fontId="34" fillId="0" borderId="55" xfId="0" applyFont="1" applyBorder="1" applyAlignment="1">
      <alignment horizontal="left"/>
    </xf>
    <xf numFmtId="3" fontId="113" fillId="0" borderId="0" xfId="0" applyNumberFormat="1" applyFont="1" applyAlignment="1">
      <alignment horizontal="center" vertical="center"/>
    </xf>
    <xf numFmtId="0" fontId="6" fillId="44" borderId="0" xfId="0" applyFont="1" applyFill="1"/>
    <xf numFmtId="0" fontId="0" fillId="44" borderId="0" xfId="0" applyFill="1"/>
    <xf numFmtId="44" fontId="41" fillId="0" borderId="5" xfId="0" applyNumberFormat="1" applyFont="1" applyBorder="1" applyAlignment="1">
      <alignment horizontal="center"/>
    </xf>
    <xf numFmtId="17" fontId="11" fillId="49" borderId="23" xfId="0" applyNumberFormat="1" applyFont="1" applyFill="1" applyBorder="1" applyAlignment="1">
      <alignment horizontal="left"/>
    </xf>
    <xf numFmtId="0" fontId="9" fillId="49" borderId="13" xfId="0" applyFont="1" applyFill="1" applyBorder="1" applyAlignment="1">
      <alignment horizontal="center"/>
    </xf>
    <xf numFmtId="49" fontId="9" fillId="49" borderId="13" xfId="0" applyNumberFormat="1" applyFont="1" applyFill="1" applyBorder="1" applyAlignment="1">
      <alignment horizontal="center"/>
    </xf>
    <xf numFmtId="3" fontId="9" fillId="49" borderId="1" xfId="0" applyNumberFormat="1" applyFont="1" applyFill="1" applyBorder="1" applyAlignment="1">
      <alignment horizontal="center"/>
    </xf>
    <xf numFmtId="3" fontId="11" fillId="49" borderId="1" xfId="0" applyNumberFormat="1" applyFont="1" applyFill="1" applyBorder="1" applyAlignment="1">
      <alignment horizontal="center"/>
    </xf>
    <xf numFmtId="3" fontId="11" fillId="49" borderId="5" xfId="0" applyNumberFormat="1" applyFont="1" applyFill="1" applyBorder="1" applyAlignment="1">
      <alignment horizontal="center"/>
    </xf>
    <xf numFmtId="0" fontId="12" fillId="0" borderId="17" xfId="0" applyFont="1" applyBorder="1"/>
    <xf numFmtId="0" fontId="12" fillId="0" borderId="18" xfId="0" applyFont="1" applyBorder="1"/>
    <xf numFmtId="0" fontId="114" fillId="44" borderId="0" xfId="0" applyFont="1" applyFill="1"/>
    <xf numFmtId="0" fontId="43" fillId="0" borderId="3" xfId="0" applyFont="1" applyBorder="1" applyAlignment="1">
      <alignment horizontal="center" vertical="top"/>
    </xf>
    <xf numFmtId="0" fontId="43" fillId="0" borderId="3" xfId="0" applyFont="1" applyBorder="1" applyAlignment="1">
      <alignment horizontal="center" vertical="top" wrapText="1"/>
    </xf>
    <xf numFmtId="0" fontId="85" fillId="49" borderId="0" xfId="0" applyFont="1" applyFill="1"/>
    <xf numFmtId="1" fontId="85" fillId="49" borderId="0" xfId="0" applyNumberFormat="1" applyFont="1" applyFill="1"/>
    <xf numFmtId="0" fontId="85" fillId="0" borderId="0" xfId="0" applyFont="1"/>
    <xf numFmtId="0" fontId="0" fillId="49" borderId="0" xfId="0" applyFill="1" applyAlignment="1">
      <alignment wrapText="1"/>
    </xf>
    <xf numFmtId="0" fontId="29" fillId="49" borderId="0" xfId="0" applyFont="1" applyFill="1"/>
    <xf numFmtId="0" fontId="29" fillId="49" borderId="0" xfId="0" applyFont="1" applyFill="1" applyAlignment="1">
      <alignment horizontal="right"/>
    </xf>
    <xf numFmtId="0" fontId="6" fillId="49" borderId="0" xfId="0" applyFont="1" applyFill="1" applyAlignment="1">
      <alignment wrapText="1"/>
    </xf>
    <xf numFmtId="0" fontId="105" fillId="49" borderId="0" xfId="0" applyFont="1" applyFill="1"/>
    <xf numFmtId="0" fontId="0" fillId="49" borderId="0" xfId="0" applyFill="1"/>
    <xf numFmtId="1" fontId="0" fillId="49" borderId="0" xfId="0" applyNumberFormat="1" applyFill="1"/>
    <xf numFmtId="10" fontId="0" fillId="49" borderId="0" xfId="0" applyNumberFormat="1" applyFill="1"/>
    <xf numFmtId="0" fontId="6" fillId="49" borderId="0" xfId="0" applyFont="1" applyFill="1"/>
    <xf numFmtId="0" fontId="5" fillId="49" borderId="0" xfId="0" applyFont="1" applyFill="1" applyAlignment="1">
      <alignment wrapText="1"/>
    </xf>
    <xf numFmtId="1" fontId="5" fillId="49" borderId="0" xfId="0" applyNumberFormat="1" applyFont="1" applyFill="1"/>
    <xf numFmtId="0" fontId="94" fillId="44" borderId="0" xfId="0" applyFont="1" applyFill="1"/>
    <xf numFmtId="17" fontId="42" fillId="0" borderId="48" xfId="0" applyNumberFormat="1" applyFont="1" applyBorder="1" applyAlignment="1">
      <alignment horizontal="left"/>
    </xf>
    <xf numFmtId="3" fontId="43" fillId="0" borderId="48" xfId="0" applyNumberFormat="1" applyFont="1" applyBorder="1" applyAlignment="1">
      <alignment horizontal="center"/>
    </xf>
    <xf numFmtId="17" fontId="15" fillId="47" borderId="22" xfId="0" applyNumberFormat="1" applyFont="1" applyFill="1" applyBorder="1" applyAlignment="1">
      <alignment horizontal="left"/>
    </xf>
    <xf numFmtId="4" fontId="0" fillId="0" borderId="112" xfId="0" applyNumberFormat="1" applyBorder="1"/>
    <xf numFmtId="3" fontId="39" fillId="0" borderId="112" xfId="0" applyNumberFormat="1" applyFont="1" applyBorder="1" applyAlignment="1">
      <alignment horizontal="right"/>
    </xf>
    <xf numFmtId="170" fontId="0" fillId="0" borderId="112" xfId="0" applyNumberFormat="1" applyBorder="1"/>
    <xf numFmtId="44" fontId="0" fillId="0" borderId="112" xfId="0" applyNumberFormat="1" applyBorder="1"/>
    <xf numFmtId="0" fontId="5" fillId="47" borderId="2" xfId="0" applyFont="1" applyFill="1" applyBorder="1" applyAlignment="1">
      <alignment horizontal="center" vertical="center"/>
    </xf>
    <xf numFmtId="44" fontId="5" fillId="47" borderId="2" xfId="0" applyNumberFormat="1" applyFont="1" applyFill="1" applyBorder="1" applyAlignment="1">
      <alignment horizontal="center" vertical="center"/>
    </xf>
    <xf numFmtId="0" fontId="68" fillId="53" borderId="11" xfId="0" applyFont="1" applyFill="1" applyBorder="1"/>
    <xf numFmtId="0" fontId="106" fillId="0" borderId="71" xfId="0" applyFont="1" applyBorder="1" applyAlignment="1">
      <alignment horizontal="center" vertical="center"/>
    </xf>
    <xf numFmtId="0" fontId="50" fillId="0" borderId="16" xfId="0" applyFont="1" applyBorder="1" applyAlignment="1">
      <alignment horizontal="center" vertical="top"/>
    </xf>
    <xf numFmtId="0" fontId="40" fillId="0" borderId="83" xfId="0" applyFont="1" applyBorder="1" applyAlignment="1">
      <alignment horizontal="center"/>
    </xf>
    <xf numFmtId="0" fontId="40" fillId="0" borderId="69" xfId="0" applyFont="1" applyBorder="1" applyAlignment="1">
      <alignment horizontal="center"/>
    </xf>
    <xf numFmtId="0" fontId="40" fillId="0" borderId="37" xfId="0" applyFont="1" applyBorder="1" applyAlignment="1">
      <alignment horizontal="center"/>
    </xf>
    <xf numFmtId="0" fontId="44" fillId="0" borderId="48" xfId="0" applyFont="1" applyBorder="1" applyAlignment="1">
      <alignment horizontal="left" wrapText="1"/>
    </xf>
    <xf numFmtId="0" fontId="40" fillId="0" borderId="83" xfId="0" applyFont="1" applyBorder="1" applyAlignment="1">
      <alignment horizontal="center" vertical="center"/>
    </xf>
    <xf numFmtId="0" fontId="40" fillId="0" borderId="69" xfId="0" applyFont="1" applyBorder="1" applyAlignment="1">
      <alignment horizontal="center" vertical="center"/>
    </xf>
    <xf numFmtId="0" fontId="40" fillId="0" borderId="37" xfId="0" applyFont="1" applyBorder="1" applyAlignment="1">
      <alignment horizontal="center" vertical="center"/>
    </xf>
    <xf numFmtId="0" fontId="50" fillId="0" borderId="0" xfId="0" applyFont="1" applyAlignment="1">
      <alignment horizontal="center"/>
    </xf>
    <xf numFmtId="0" fontId="50" fillId="0" borderId="71" xfId="0" applyFont="1" applyBorder="1" applyAlignment="1">
      <alignment horizontal="center" vertical="top"/>
    </xf>
    <xf numFmtId="0" fontId="53" fillId="0" borderId="71" xfId="0" applyFont="1" applyBorder="1" applyAlignment="1">
      <alignment horizontal="center" vertical="center"/>
    </xf>
    <xf numFmtId="8" fontId="53" fillId="0" borderId="70" xfId="0" applyNumberFormat="1" applyFont="1" applyBorder="1" applyAlignment="1">
      <alignment horizontal="center"/>
    </xf>
    <xf numFmtId="8" fontId="53" fillId="0" borderId="65" xfId="0" applyNumberFormat="1" applyFont="1" applyBorder="1" applyAlignment="1">
      <alignment horizontal="center"/>
    </xf>
    <xf numFmtId="0" fontId="50" fillId="0" borderId="71" xfId="0" applyFont="1" applyBorder="1" applyAlignment="1">
      <alignment horizontal="center" vertical="center"/>
    </xf>
    <xf numFmtId="0" fontId="6" fillId="0" borderId="39" xfId="0" applyFont="1" applyBorder="1" applyAlignment="1">
      <alignment horizontal="center" vertical="center" wrapText="1"/>
    </xf>
    <xf numFmtId="0" fontId="6" fillId="0" borderId="45" xfId="0" applyFont="1" applyBorder="1" applyAlignment="1">
      <alignment horizontal="center" vertical="center" wrapText="1"/>
    </xf>
    <xf numFmtId="44" fontId="6" fillId="0" borderId="39" xfId="31" applyBorder="1" applyAlignment="1">
      <alignment horizontal="center" vertical="center" wrapText="1"/>
    </xf>
    <xf numFmtId="44" fontId="6" fillId="0" borderId="45" xfId="31" applyBorder="1" applyAlignment="1">
      <alignment horizontal="center" vertical="center" wrapText="1"/>
    </xf>
    <xf numFmtId="0" fontId="6" fillId="0" borderId="71" xfId="0" applyFont="1" applyBorder="1" applyAlignment="1">
      <alignment horizontal="center" vertical="center"/>
    </xf>
    <xf numFmtId="0" fontId="6" fillId="0" borderId="61" xfId="0" applyFont="1" applyBorder="1" applyAlignment="1">
      <alignment horizontal="left" vertical="center" wrapText="1"/>
    </xf>
    <xf numFmtId="0" fontId="6" fillId="0" borderId="19" xfId="0" applyFont="1" applyBorder="1" applyAlignment="1">
      <alignment horizontal="left" vertical="center" wrapText="1"/>
    </xf>
    <xf numFmtId="0" fontId="6" fillId="0" borderId="33" xfId="0" applyFont="1" applyBorder="1" applyAlignment="1">
      <alignment horizontal="left"/>
    </xf>
    <xf numFmtId="0" fontId="6" fillId="0" borderId="15" xfId="0" applyFont="1" applyBorder="1" applyAlignment="1">
      <alignment horizontal="left"/>
    </xf>
    <xf numFmtId="0" fontId="5" fillId="0" borderId="5" xfId="0" applyFont="1" applyBorder="1" applyAlignment="1">
      <alignment horizontal="left"/>
    </xf>
    <xf numFmtId="0" fontId="5" fillId="0" borderId="13" xfId="0" applyFont="1" applyBorder="1" applyAlignment="1">
      <alignment horizontal="left"/>
    </xf>
    <xf numFmtId="0" fontId="6" fillId="0" borderId="5" xfId="0" applyFont="1" applyBorder="1" applyAlignment="1">
      <alignment horizontal="left"/>
    </xf>
    <xf numFmtId="0" fontId="6" fillId="0" borderId="13" xfId="0" applyFont="1" applyBorder="1" applyAlignment="1">
      <alignment horizontal="left"/>
    </xf>
    <xf numFmtId="0" fontId="5" fillId="0" borderId="71" xfId="0" applyFont="1" applyBorder="1" applyAlignment="1">
      <alignment horizontal="center" vertical="center"/>
    </xf>
    <xf numFmtId="44" fontId="25" fillId="0" borderId="39" xfId="31" applyFont="1" applyBorder="1" applyAlignment="1">
      <alignment horizontal="center" vertical="center" wrapText="1"/>
    </xf>
    <xf numFmtId="44" fontId="25" fillId="0" borderId="45" xfId="31" applyFont="1" applyBorder="1" applyAlignment="1">
      <alignment horizontal="center" vertical="center" wrapText="1"/>
    </xf>
    <xf numFmtId="0" fontId="6" fillId="0" borderId="87" xfId="0" applyFont="1" applyBorder="1" applyAlignment="1">
      <alignment horizontal="left"/>
    </xf>
    <xf numFmtId="0" fontId="6" fillId="0" borderId="88" xfId="0" applyFont="1" applyBorder="1" applyAlignment="1">
      <alignment horizontal="left"/>
    </xf>
    <xf numFmtId="0" fontId="6" fillId="0" borderId="85" xfId="0" applyFont="1" applyBorder="1" applyAlignment="1">
      <alignment horizontal="left" vertical="center" wrapText="1"/>
    </xf>
    <xf numFmtId="0" fontId="6" fillId="0" borderId="86" xfId="0" applyFont="1" applyBorder="1" applyAlignment="1">
      <alignment horizontal="left" vertical="center" wrapText="1"/>
    </xf>
    <xf numFmtId="0" fontId="25" fillId="0" borderId="39" xfId="0" applyFont="1" applyBorder="1" applyAlignment="1">
      <alignment horizontal="center" vertical="center" wrapText="1"/>
    </xf>
    <xf numFmtId="0" fontId="25" fillId="0" borderId="45" xfId="0" applyFont="1" applyBorder="1" applyAlignment="1">
      <alignment horizontal="center" vertical="center" wrapText="1"/>
    </xf>
    <xf numFmtId="0" fontId="6" fillId="0" borderId="85" xfId="0" applyFont="1" applyBorder="1" applyAlignment="1">
      <alignment horizontal="left" wrapText="1"/>
    </xf>
    <xf numFmtId="0" fontId="6" fillId="0" borderId="86" xfId="0" applyFont="1" applyBorder="1" applyAlignment="1">
      <alignment horizontal="left" wrapText="1"/>
    </xf>
    <xf numFmtId="0" fontId="57" fillId="0" borderId="16" xfId="0" applyFont="1" applyBorder="1" applyAlignment="1">
      <alignment horizontal="center" vertical="center"/>
    </xf>
    <xf numFmtId="0" fontId="40" fillId="0" borderId="0" xfId="0" applyFont="1" applyAlignment="1">
      <alignment horizontal="center"/>
    </xf>
    <xf numFmtId="42" fontId="40" fillId="0" borderId="0" xfId="0" applyNumberFormat="1" applyFont="1" applyAlignment="1">
      <alignment horizontal="center"/>
    </xf>
    <xf numFmtId="0" fontId="40" fillId="0" borderId="71" xfId="0" applyFont="1" applyBorder="1" applyAlignment="1">
      <alignment horizontal="center"/>
    </xf>
    <xf numFmtId="0" fontId="40" fillId="0" borderId="0" xfId="0" applyFont="1" applyAlignment="1">
      <alignment horizontal="center" vertical="center"/>
    </xf>
    <xf numFmtId="0" fontId="43" fillId="0" borderId="71" xfId="0" applyFont="1" applyBorder="1" applyAlignment="1">
      <alignment horizontal="center" vertical="center"/>
    </xf>
    <xf numFmtId="0" fontId="35" fillId="0" borderId="81" xfId="0" applyFont="1" applyBorder="1" applyAlignment="1">
      <alignment horizontal="left"/>
    </xf>
    <xf numFmtId="0" fontId="54" fillId="0" borderId="65" xfId="0" applyFont="1" applyBorder="1" applyAlignment="1">
      <alignment horizontal="left"/>
    </xf>
    <xf numFmtId="0" fontId="61" fillId="0" borderId="6" xfId="0" applyFont="1" applyBorder="1" applyAlignment="1">
      <alignment horizontal="center" vertical="center" wrapText="1"/>
    </xf>
    <xf numFmtId="0" fontId="54" fillId="0" borderId="83" xfId="0" applyFont="1" applyBorder="1" applyAlignment="1">
      <alignment horizontal="center" vertical="center"/>
    </xf>
    <xf numFmtId="0" fontId="54" fillId="0" borderId="69" xfId="0" applyFont="1" applyBorder="1" applyAlignment="1">
      <alignment horizontal="center" vertical="center"/>
    </xf>
    <xf numFmtId="0" fontId="46" fillId="0" borderId="55" xfId="0" applyFont="1" applyBorder="1" applyAlignment="1">
      <alignment horizontal="left"/>
    </xf>
    <xf numFmtId="0" fontId="46" fillId="0" borderId="13" xfId="0" applyFont="1" applyBorder="1" applyAlignment="1">
      <alignment horizontal="left"/>
    </xf>
    <xf numFmtId="0" fontId="50" fillId="0" borderId="16" xfId="0" applyFont="1" applyBorder="1" applyAlignment="1">
      <alignment horizontal="center" vertical="center"/>
    </xf>
    <xf numFmtId="0" fontId="50" fillId="0" borderId="0" xfId="0" applyFont="1" applyAlignment="1">
      <alignment horizontal="center" vertical="center"/>
    </xf>
    <xf numFmtId="0" fontId="39" fillId="0" borderId="5" xfId="0" applyFont="1" applyBorder="1"/>
    <xf numFmtId="0" fontId="39" fillId="0" borderId="13" xfId="0" applyFont="1" applyBorder="1"/>
    <xf numFmtId="0" fontId="47" fillId="0" borderId="20" xfId="0" applyFont="1" applyBorder="1" applyAlignment="1">
      <alignment horizontal="center" vertical="center"/>
    </xf>
    <xf numFmtId="0" fontId="47" fillId="0" borderId="6" xfId="0" applyFont="1" applyBorder="1" applyAlignment="1">
      <alignment horizontal="center" vertical="center"/>
    </xf>
    <xf numFmtId="3" fontId="47" fillId="0" borderId="6" xfId="0" applyNumberFormat="1" applyFont="1" applyBorder="1" applyAlignment="1">
      <alignment horizontal="center" vertical="center"/>
    </xf>
    <xf numFmtId="0" fontId="53" fillId="0" borderId="39" xfId="0" applyFont="1" applyBorder="1" applyAlignment="1">
      <alignment horizontal="center" vertical="center"/>
    </xf>
    <xf numFmtId="0" fontId="53" fillId="0" borderId="45" xfId="0" applyFont="1" applyBorder="1" applyAlignment="1">
      <alignment horizontal="center" vertical="center"/>
    </xf>
    <xf numFmtId="0" fontId="40" fillId="0" borderId="17" xfId="0" applyFont="1" applyBorder="1" applyAlignment="1">
      <alignment horizontal="center" vertical="center"/>
    </xf>
    <xf numFmtId="0" fontId="40" fillId="0" borderId="48" xfId="0" applyFont="1" applyBorder="1" applyAlignment="1">
      <alignment horizontal="center" vertical="center"/>
    </xf>
    <xf numFmtId="0" fontId="40" fillId="0" borderId="49" xfId="0" applyFont="1" applyBorder="1" applyAlignment="1">
      <alignment horizontal="center" vertical="center"/>
    </xf>
    <xf numFmtId="17" fontId="40" fillId="0" borderId="7" xfId="0" applyNumberFormat="1" applyFont="1" applyBorder="1" applyAlignment="1">
      <alignment horizontal="center" vertical="center" wrapText="1"/>
    </xf>
    <xf numFmtId="17" fontId="40" fillId="0" borderId="38" xfId="0" applyNumberFormat="1" applyFont="1" applyBorder="1" applyAlignment="1">
      <alignment horizontal="center" vertical="center" wrapText="1"/>
    </xf>
    <xf numFmtId="0" fontId="40" fillId="0" borderId="7" xfId="0" applyFont="1" applyBorder="1" applyAlignment="1">
      <alignment horizontal="center" vertical="center" wrapText="1"/>
    </xf>
    <xf numFmtId="0" fontId="40" fillId="0" borderId="38" xfId="0" applyFont="1" applyBorder="1" applyAlignment="1">
      <alignment horizontal="center" vertical="center" wrapText="1"/>
    </xf>
    <xf numFmtId="0" fontId="87" fillId="0" borderId="0" xfId="0" applyFont="1" applyAlignment="1">
      <alignment horizontal="center" vertical="top" wrapText="1"/>
    </xf>
    <xf numFmtId="17" fontId="19" fillId="0" borderId="7" xfId="0" applyNumberFormat="1" applyFont="1" applyBorder="1" applyAlignment="1">
      <alignment horizontal="center" wrapText="1"/>
    </xf>
    <xf numFmtId="17" fontId="19" fillId="0" borderId="38" xfId="0" applyNumberFormat="1" applyFont="1" applyBorder="1" applyAlignment="1">
      <alignment horizontal="center" wrapText="1"/>
    </xf>
    <xf numFmtId="17" fontId="20" fillId="0" borderId="7" xfId="0" applyNumberFormat="1" applyFont="1" applyBorder="1" applyAlignment="1">
      <alignment horizontal="center" wrapText="1"/>
    </xf>
    <xf numFmtId="17" fontId="20" fillId="0" borderId="38" xfId="0" applyNumberFormat="1" applyFont="1" applyBorder="1" applyAlignment="1">
      <alignment horizontal="center" wrapText="1"/>
    </xf>
    <xf numFmtId="17" fontId="15" fillId="0" borderId="7" xfId="0" applyNumberFormat="1" applyFont="1" applyBorder="1" applyAlignment="1">
      <alignment horizontal="center" wrapText="1"/>
    </xf>
    <xf numFmtId="17" fontId="15" fillId="0" borderId="38" xfId="0" applyNumberFormat="1" applyFont="1" applyBorder="1" applyAlignment="1">
      <alignment horizontal="center" wrapText="1"/>
    </xf>
    <xf numFmtId="0" fontId="15" fillId="0" borderId="7" xfId="0" applyFont="1" applyBorder="1" applyAlignment="1">
      <alignment horizontal="center" wrapText="1"/>
    </xf>
    <xf numFmtId="0" fontId="15" fillId="0" borderId="38" xfId="0" applyFont="1" applyBorder="1" applyAlignment="1">
      <alignment horizontal="center" wrapText="1"/>
    </xf>
    <xf numFmtId="0" fontId="12" fillId="0" borderId="18" xfId="0" applyFont="1" applyBorder="1" applyAlignment="1">
      <alignment horizontal="right"/>
    </xf>
    <xf numFmtId="0" fontId="12" fillId="0" borderId="16" xfId="0" applyFont="1" applyBorder="1" applyAlignment="1">
      <alignment horizontal="right"/>
    </xf>
    <xf numFmtId="17" fontId="69" fillId="0" borderId="7" xfId="0" applyNumberFormat="1" applyFont="1" applyBorder="1" applyAlignment="1">
      <alignment horizontal="center" wrapText="1"/>
    </xf>
    <xf numFmtId="17" fontId="69" fillId="0" borderId="38" xfId="0" applyNumberFormat="1" applyFont="1" applyBorder="1" applyAlignment="1">
      <alignment horizontal="center" wrapText="1"/>
    </xf>
    <xf numFmtId="0" fontId="43" fillId="38" borderId="83" xfId="0" applyFont="1" applyFill="1" applyBorder="1" applyAlignment="1">
      <alignment horizontal="center" wrapText="1"/>
    </xf>
    <xf numFmtId="0" fontId="42" fillId="38" borderId="69" xfId="0" applyFont="1" applyFill="1" applyBorder="1" applyAlignment="1">
      <alignment wrapText="1"/>
    </xf>
    <xf numFmtId="0" fontId="42" fillId="38" borderId="37" xfId="0" applyFont="1" applyFill="1" applyBorder="1" applyAlignment="1">
      <alignment wrapText="1"/>
    </xf>
    <xf numFmtId="17" fontId="43" fillId="0" borderId="7" xfId="0" applyNumberFormat="1" applyFont="1" applyBorder="1" applyAlignment="1">
      <alignment horizontal="center" wrapText="1"/>
    </xf>
    <xf numFmtId="0" fontId="42" fillId="0" borderId="38" xfId="0" applyFont="1" applyBorder="1" applyAlignment="1">
      <alignment horizontal="center" wrapText="1"/>
    </xf>
    <xf numFmtId="0" fontId="43" fillId="0" borderId="7" xfId="0" applyFont="1" applyBorder="1" applyAlignment="1">
      <alignment horizontal="center" wrapText="1"/>
    </xf>
    <xf numFmtId="0" fontId="43" fillId="40" borderId="83" xfId="0" applyFont="1" applyFill="1" applyBorder="1" applyAlignment="1">
      <alignment horizontal="center" wrapText="1"/>
    </xf>
    <xf numFmtId="0" fontId="42" fillId="40" borderId="69" xfId="0" applyFont="1" applyFill="1" applyBorder="1" applyAlignment="1">
      <alignment wrapText="1"/>
    </xf>
    <xf numFmtId="0" fontId="42" fillId="40" borderId="37" xfId="0" applyFont="1" applyFill="1" applyBorder="1" applyAlignment="1">
      <alignment wrapText="1"/>
    </xf>
    <xf numFmtId="4" fontId="0" fillId="0" borderId="12" xfId="0" applyNumberFormat="1" applyFill="1" applyBorder="1"/>
    <xf numFmtId="3" fontId="0" fillId="0" borderId="3" xfId="0" applyNumberFormat="1" applyFill="1" applyBorder="1"/>
    <xf numFmtId="170" fontId="0" fillId="0" borderId="3" xfId="0" applyNumberFormat="1" applyFill="1" applyBorder="1"/>
    <xf numFmtId="4" fontId="0" fillId="0" borderId="13" xfId="0" applyNumberFormat="1" applyFill="1" applyBorder="1"/>
    <xf numFmtId="3" fontId="0" fillId="0" borderId="1" xfId="0" applyNumberFormat="1" applyFill="1" applyBorder="1"/>
    <xf numFmtId="44" fontId="0" fillId="0" borderId="13" xfId="0" applyNumberFormat="1" applyFill="1" applyBorder="1"/>
    <xf numFmtId="4" fontId="0" fillId="0" borderId="45" xfId="0" applyNumberFormat="1" applyFill="1" applyBorder="1"/>
    <xf numFmtId="3" fontId="0" fillId="0" borderId="2" xfId="0" applyNumberFormat="1" applyFill="1" applyBorder="1"/>
    <xf numFmtId="0" fontId="5" fillId="0" borderId="45" xfId="0" applyFont="1" applyFill="1" applyBorder="1" applyAlignment="1">
      <alignment horizontal="center" vertical="center"/>
    </xf>
    <xf numFmtId="0" fontId="5" fillId="0" borderId="2" xfId="0" applyFont="1" applyFill="1" applyBorder="1" applyAlignment="1">
      <alignment horizontal="center" vertical="center"/>
    </xf>
    <xf numFmtId="4" fontId="0" fillId="0" borderId="112" xfId="0" applyNumberFormat="1" applyFill="1" applyBorder="1"/>
    <xf numFmtId="8" fontId="0" fillId="0" borderId="13" xfId="0" applyNumberFormat="1" applyFill="1" applyBorder="1"/>
    <xf numFmtId="4" fontId="0" fillId="0" borderId="13" xfId="0" applyNumberFormat="1" applyBorder="1"/>
    <xf numFmtId="170" fontId="0" fillId="2" borderId="43" xfId="0" applyNumberFormat="1" applyFill="1" applyBorder="1"/>
    <xf numFmtId="4" fontId="0" fillId="0" borderId="12" xfId="0" applyNumberFormat="1" applyFill="1" applyBorder="1"/>
    <xf numFmtId="3" fontId="0" fillId="0" borderId="3" xfId="0" applyNumberFormat="1" applyFill="1" applyBorder="1"/>
    <xf numFmtId="170" fontId="0" fillId="0" borderId="3" xfId="0" applyNumberFormat="1" applyFill="1" applyBorder="1"/>
    <xf numFmtId="4" fontId="0" fillId="0" borderId="13" xfId="0" applyNumberFormat="1" applyFill="1" applyBorder="1"/>
    <xf numFmtId="3" fontId="0" fillId="0" borderId="112" xfId="0" applyNumberFormat="1" applyFill="1" applyBorder="1"/>
  </cellXfs>
  <cellStyles count="154">
    <cellStyle name="20% - Accent1" xfId="1" builtinId="30" customBuiltin="1"/>
    <cellStyle name="20% - Accent1 2" xfId="65" xr:uid="{00000000-0005-0000-0000-000001000000}"/>
    <cellStyle name="20% - Accent1 2 2" xfId="100" xr:uid="{00000000-0005-0000-0000-000002000000}"/>
    <cellStyle name="20% - Accent1 2 3" xfId="127" xr:uid="{00000000-0005-0000-0000-000003000000}"/>
    <cellStyle name="20% - Accent1 3" xfId="82" xr:uid="{00000000-0005-0000-0000-000004000000}"/>
    <cellStyle name="20% - Accent1 4" xfId="113" xr:uid="{00000000-0005-0000-0000-000005000000}"/>
    <cellStyle name="20% - Accent1 5" xfId="140" xr:uid="{FB428AD6-316C-428E-BF6D-19AC22F25B8F}"/>
    <cellStyle name="20% - Accent2" xfId="2" builtinId="34" customBuiltin="1"/>
    <cellStyle name="20% - Accent2 2" xfId="66" xr:uid="{00000000-0005-0000-0000-000007000000}"/>
    <cellStyle name="20% - Accent2 2 2" xfId="101" xr:uid="{00000000-0005-0000-0000-000008000000}"/>
    <cellStyle name="20% - Accent2 2 3" xfId="128" xr:uid="{00000000-0005-0000-0000-000009000000}"/>
    <cellStyle name="20% - Accent2 3" xfId="84" xr:uid="{00000000-0005-0000-0000-00000A000000}"/>
    <cellStyle name="20% - Accent2 4" xfId="114" xr:uid="{00000000-0005-0000-0000-00000B000000}"/>
    <cellStyle name="20% - Accent2 5" xfId="141" xr:uid="{58A4B5F7-592B-4C2F-843D-0CEFE4EAD911}"/>
    <cellStyle name="20% - Accent3" xfId="3" builtinId="38" customBuiltin="1"/>
    <cellStyle name="20% - Accent3 2" xfId="67" xr:uid="{00000000-0005-0000-0000-00000D000000}"/>
    <cellStyle name="20% - Accent3 2 2" xfId="102" xr:uid="{00000000-0005-0000-0000-00000E000000}"/>
    <cellStyle name="20% - Accent3 2 3" xfId="129" xr:uid="{00000000-0005-0000-0000-00000F000000}"/>
    <cellStyle name="20% - Accent3 3" xfId="86" xr:uid="{00000000-0005-0000-0000-000010000000}"/>
    <cellStyle name="20% - Accent3 4" xfId="115" xr:uid="{00000000-0005-0000-0000-000011000000}"/>
    <cellStyle name="20% - Accent3 5" xfId="142" xr:uid="{82357E3B-9426-4B9D-8DD3-9CB5C679CEC4}"/>
    <cellStyle name="20% - Accent4" xfId="4" builtinId="42" customBuiltin="1"/>
    <cellStyle name="20% - Accent4 2" xfId="68" xr:uid="{00000000-0005-0000-0000-000013000000}"/>
    <cellStyle name="20% - Accent4 2 2" xfId="103" xr:uid="{00000000-0005-0000-0000-000014000000}"/>
    <cellStyle name="20% - Accent4 2 3" xfId="130" xr:uid="{00000000-0005-0000-0000-000015000000}"/>
    <cellStyle name="20% - Accent4 3" xfId="88" xr:uid="{00000000-0005-0000-0000-000016000000}"/>
    <cellStyle name="20% - Accent4 4" xfId="116" xr:uid="{00000000-0005-0000-0000-000017000000}"/>
    <cellStyle name="20% - Accent4 5" xfId="143" xr:uid="{FADC2C31-A9FB-4C9B-970A-384221388442}"/>
    <cellStyle name="20% - Accent5" xfId="5" builtinId="46" customBuiltin="1"/>
    <cellStyle name="20% - Accent5 2" xfId="69" xr:uid="{00000000-0005-0000-0000-000019000000}"/>
    <cellStyle name="20% - Accent5 2 2" xfId="104" xr:uid="{00000000-0005-0000-0000-00001A000000}"/>
    <cellStyle name="20% - Accent5 2 3" xfId="131" xr:uid="{00000000-0005-0000-0000-00001B000000}"/>
    <cellStyle name="20% - Accent5 3" xfId="90" xr:uid="{00000000-0005-0000-0000-00001C000000}"/>
    <cellStyle name="20% - Accent5 4" xfId="117" xr:uid="{00000000-0005-0000-0000-00001D000000}"/>
    <cellStyle name="20% - Accent5 5" xfId="144" xr:uid="{0416ECAB-28D0-4045-8C6A-F6801AFEACB0}"/>
    <cellStyle name="20% - Accent6" xfId="6" builtinId="50" customBuiltin="1"/>
    <cellStyle name="20% - Accent6 2" xfId="70" xr:uid="{00000000-0005-0000-0000-00001F000000}"/>
    <cellStyle name="20% - Accent6 2 2" xfId="105" xr:uid="{00000000-0005-0000-0000-000020000000}"/>
    <cellStyle name="20% - Accent6 2 3" xfId="132" xr:uid="{00000000-0005-0000-0000-000021000000}"/>
    <cellStyle name="20% - Accent6 3" xfId="92" xr:uid="{00000000-0005-0000-0000-000022000000}"/>
    <cellStyle name="20% - Accent6 4" xfId="118" xr:uid="{00000000-0005-0000-0000-000023000000}"/>
    <cellStyle name="20% - Accent6 5" xfId="145" xr:uid="{23F4F1E2-5A44-48B5-983C-C6258079F57C}"/>
    <cellStyle name="40% - Accent1" xfId="7" builtinId="31" customBuiltin="1"/>
    <cellStyle name="40% - Accent1 2" xfId="71" xr:uid="{00000000-0005-0000-0000-000025000000}"/>
    <cellStyle name="40% - Accent1 2 2" xfId="106" xr:uid="{00000000-0005-0000-0000-000026000000}"/>
    <cellStyle name="40% - Accent1 2 3" xfId="133" xr:uid="{00000000-0005-0000-0000-000027000000}"/>
    <cellStyle name="40% - Accent1 3" xfId="83" xr:uid="{00000000-0005-0000-0000-000028000000}"/>
    <cellStyle name="40% - Accent1 4" xfId="119" xr:uid="{00000000-0005-0000-0000-000029000000}"/>
    <cellStyle name="40% - Accent1 5" xfId="146" xr:uid="{638400EE-ED80-4174-8286-847FF6ED39B2}"/>
    <cellStyle name="40% - Accent2" xfId="8" builtinId="35" customBuiltin="1"/>
    <cellStyle name="40% - Accent2 2" xfId="72" xr:uid="{00000000-0005-0000-0000-00002B000000}"/>
    <cellStyle name="40% - Accent2 2 2" xfId="107" xr:uid="{00000000-0005-0000-0000-00002C000000}"/>
    <cellStyle name="40% - Accent2 2 3" xfId="134" xr:uid="{00000000-0005-0000-0000-00002D000000}"/>
    <cellStyle name="40% - Accent2 3" xfId="85" xr:uid="{00000000-0005-0000-0000-00002E000000}"/>
    <cellStyle name="40% - Accent2 4" xfId="120" xr:uid="{00000000-0005-0000-0000-00002F000000}"/>
    <cellStyle name="40% - Accent2 5" xfId="147" xr:uid="{544787F3-0FEC-4D70-A933-411E7933DAC9}"/>
    <cellStyle name="40% - Accent3" xfId="9" builtinId="39" customBuiltin="1"/>
    <cellStyle name="40% - Accent3 2" xfId="73" xr:uid="{00000000-0005-0000-0000-000031000000}"/>
    <cellStyle name="40% - Accent3 2 2" xfId="108" xr:uid="{00000000-0005-0000-0000-000032000000}"/>
    <cellStyle name="40% - Accent3 2 3" xfId="135" xr:uid="{00000000-0005-0000-0000-000033000000}"/>
    <cellStyle name="40% - Accent3 3" xfId="87" xr:uid="{00000000-0005-0000-0000-000034000000}"/>
    <cellStyle name="40% - Accent3 4" xfId="121" xr:uid="{00000000-0005-0000-0000-000035000000}"/>
    <cellStyle name="40% - Accent3 5" xfId="148" xr:uid="{D2097B77-48A0-44DF-A5BB-797EB7361F18}"/>
    <cellStyle name="40% - Accent4" xfId="10" builtinId="43" customBuiltin="1"/>
    <cellStyle name="40% - Accent4 2" xfId="74" xr:uid="{00000000-0005-0000-0000-000037000000}"/>
    <cellStyle name="40% - Accent4 2 2" xfId="109" xr:uid="{00000000-0005-0000-0000-000038000000}"/>
    <cellStyle name="40% - Accent4 2 3" xfId="136" xr:uid="{00000000-0005-0000-0000-000039000000}"/>
    <cellStyle name="40% - Accent4 3" xfId="89" xr:uid="{00000000-0005-0000-0000-00003A000000}"/>
    <cellStyle name="40% - Accent4 4" xfId="122" xr:uid="{00000000-0005-0000-0000-00003B000000}"/>
    <cellStyle name="40% - Accent4 5" xfId="149" xr:uid="{2A25F54B-3522-49E3-88F3-2E0DD9D8B1BA}"/>
    <cellStyle name="40% - Accent5" xfId="11" builtinId="47" customBuiltin="1"/>
    <cellStyle name="40% - Accent5 2" xfId="75" xr:uid="{00000000-0005-0000-0000-00003D000000}"/>
    <cellStyle name="40% - Accent5 2 2" xfId="110" xr:uid="{00000000-0005-0000-0000-00003E000000}"/>
    <cellStyle name="40% - Accent5 2 3" xfId="137" xr:uid="{00000000-0005-0000-0000-00003F000000}"/>
    <cellStyle name="40% - Accent5 3" xfId="91" xr:uid="{00000000-0005-0000-0000-000040000000}"/>
    <cellStyle name="40% - Accent5 4" xfId="123" xr:uid="{00000000-0005-0000-0000-000041000000}"/>
    <cellStyle name="40% - Accent5 5" xfId="150" xr:uid="{7B3AE4BD-B4A3-4E0C-A367-E2A2E5C192A8}"/>
    <cellStyle name="40% - Accent6" xfId="12" builtinId="51" customBuiltin="1"/>
    <cellStyle name="40% - Accent6 2" xfId="76" xr:uid="{00000000-0005-0000-0000-000043000000}"/>
    <cellStyle name="40% - Accent6 2 2" xfId="111" xr:uid="{00000000-0005-0000-0000-000044000000}"/>
    <cellStyle name="40% - Accent6 2 3" xfId="138" xr:uid="{00000000-0005-0000-0000-000045000000}"/>
    <cellStyle name="40% - Accent6 3" xfId="93" xr:uid="{00000000-0005-0000-0000-000046000000}"/>
    <cellStyle name="40% - Accent6 4" xfId="124" xr:uid="{00000000-0005-0000-0000-000047000000}"/>
    <cellStyle name="40% - Accent6 5" xfId="151" xr:uid="{58B14C8C-65DC-409D-B085-97FFB957B4AD}"/>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xr:uid="{00000000-0005-0000-0000-000058000000}"/>
    <cellStyle name="Comma 2 2" xfId="30" xr:uid="{00000000-0005-0000-0000-000059000000}"/>
    <cellStyle name="Comma 3" xfId="60" xr:uid="{00000000-0005-0000-0000-00005A000000}"/>
    <cellStyle name="Comma 4" xfId="96" xr:uid="{00000000-0005-0000-0000-00005B000000}"/>
    <cellStyle name="Comma 5" xfId="94" xr:uid="{00000000-0005-0000-0000-00005C000000}"/>
    <cellStyle name="Currency" xfId="31" builtinId="4"/>
    <cellStyle name="Currency 2" xfId="32" xr:uid="{00000000-0005-0000-0000-00005E000000}"/>
    <cellStyle name="Currency 3" xfId="61" xr:uid="{00000000-0005-0000-0000-00005F000000}"/>
    <cellStyle name="Currency 4" xfId="97" xr:uid="{00000000-0005-0000-0000-000060000000}"/>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Input" xfId="39" builtinId="20" customBuiltin="1"/>
    <cellStyle name="Linked Cell" xfId="40" builtinId="24" customBuiltin="1"/>
    <cellStyle name="Neutral" xfId="41" builtinId="28" customBuiltin="1"/>
    <cellStyle name="Normal" xfId="0" builtinId="0"/>
    <cellStyle name="Normal 10" xfId="63" xr:uid="{00000000-0005-0000-0000-00006B000000}"/>
    <cellStyle name="Normal 11" xfId="64" xr:uid="{00000000-0005-0000-0000-00006C000000}"/>
    <cellStyle name="Normal 11 2" xfId="99" xr:uid="{00000000-0005-0000-0000-00006D000000}"/>
    <cellStyle name="Normal 12" xfId="95" xr:uid="{00000000-0005-0000-0000-00006E000000}"/>
    <cellStyle name="Normal 13" xfId="79" xr:uid="{00000000-0005-0000-0000-00006F000000}"/>
    <cellStyle name="Normal 2" xfId="42" xr:uid="{00000000-0005-0000-0000-000070000000}"/>
    <cellStyle name="Normal 2 10" xfId="153" xr:uid="{42ED0FB9-CB89-468E-9705-DD9FCB65C08D}"/>
    <cellStyle name="Normal 2 2" xfId="43" xr:uid="{00000000-0005-0000-0000-000071000000}"/>
    <cellStyle name="Normal 2 2 2" xfId="44" xr:uid="{00000000-0005-0000-0000-000072000000}"/>
    <cellStyle name="Normal 2 2_Sched-D2" xfId="45" xr:uid="{00000000-0005-0000-0000-000073000000}"/>
    <cellStyle name="Normal 2 3" xfId="77" xr:uid="{00000000-0005-0000-0000-000074000000}"/>
    <cellStyle name="Normal 2 3 2" xfId="112" xr:uid="{00000000-0005-0000-0000-000075000000}"/>
    <cellStyle name="Normal 2 3 3" xfId="139" xr:uid="{00000000-0005-0000-0000-000076000000}"/>
    <cellStyle name="Normal 2 4" xfId="78" xr:uid="{00000000-0005-0000-0000-000077000000}"/>
    <cellStyle name="Normal 2 5" xfId="98" xr:uid="{00000000-0005-0000-0000-000078000000}"/>
    <cellStyle name="Normal 2 6" xfId="80" xr:uid="{00000000-0005-0000-0000-000079000000}"/>
    <cellStyle name="Normal 2 7" xfId="126" xr:uid="{00000000-0005-0000-0000-00007A000000}"/>
    <cellStyle name="Normal 2 8" xfId="125" xr:uid="{00000000-0005-0000-0000-00007B000000}"/>
    <cellStyle name="Normal 2 9" xfId="152" xr:uid="{B8241756-AF0F-40DA-9BAD-2340D9C240F8}"/>
    <cellStyle name="Normal 2_Sched-D2" xfId="46" xr:uid="{00000000-0005-0000-0000-00007C000000}"/>
    <cellStyle name="Normal 3" xfId="47" xr:uid="{00000000-0005-0000-0000-00007D000000}"/>
    <cellStyle name="Normal 4" xfId="48" xr:uid="{00000000-0005-0000-0000-00007E000000}"/>
    <cellStyle name="Normal 5" xfId="49" xr:uid="{00000000-0005-0000-0000-00007F000000}"/>
    <cellStyle name="Normal 6" xfId="50" xr:uid="{00000000-0005-0000-0000-000080000000}"/>
    <cellStyle name="Normal 7" xfId="51" xr:uid="{00000000-0005-0000-0000-000081000000}"/>
    <cellStyle name="Normal 8" xfId="59" xr:uid="{00000000-0005-0000-0000-000082000000}"/>
    <cellStyle name="Normal 9" xfId="62" xr:uid="{00000000-0005-0000-0000-000083000000}"/>
    <cellStyle name="Note 2" xfId="52" xr:uid="{00000000-0005-0000-0000-000084000000}"/>
    <cellStyle name="Note 2 2" xfId="53" xr:uid="{00000000-0005-0000-0000-000085000000}"/>
    <cellStyle name="Note 2 2 2" xfId="54" xr:uid="{00000000-0005-0000-0000-000086000000}"/>
    <cellStyle name="Note 3" xfId="81" xr:uid="{00000000-0005-0000-0000-000087000000}"/>
    <cellStyle name="Output" xfId="55" builtinId="21" customBuiltin="1"/>
    <cellStyle name="Title" xfId="56" builtinId="15" customBuiltin="1"/>
    <cellStyle name="Total" xfId="57" builtinId="25" customBuiltin="1"/>
    <cellStyle name="Warning Text" xfId="58" builtinId="11" customBuiltin="1"/>
  </cellStyles>
  <dxfs count="10">
    <dxf>
      <numFmt numFmtId="165" formatCode="0.000"/>
    </dxf>
    <dxf>
      <numFmt numFmtId="165" formatCode="0.000"/>
    </dxf>
    <dxf>
      <numFmt numFmtId="165" formatCode="0.000"/>
    </dxf>
    <dxf>
      <numFmt numFmtId="165" formatCode="0.000"/>
    </dxf>
    <dxf>
      <numFmt numFmtId="165" formatCode="0.000"/>
    </dxf>
    <dxf>
      <numFmt numFmtId="165" formatCode="0.000"/>
    </dxf>
    <dxf>
      <numFmt numFmtId="165" formatCode="0.000"/>
    </dxf>
    <dxf>
      <border outline="0">
        <top style="thin">
          <color auto="1"/>
        </top>
      </border>
    </dxf>
    <dxf>
      <border outline="0">
        <bottom style="thin">
          <color auto="1"/>
        </bottom>
      </border>
    </dxf>
    <dxf>
      <font>
        <b/>
        <i val="0"/>
        <strike val="0"/>
        <condense val="0"/>
        <extend val="0"/>
        <outline val="0"/>
        <shadow val="0"/>
        <u val="none"/>
        <vertAlign val="baseline"/>
        <sz val="11"/>
        <color auto="1"/>
        <name val="Calibri"/>
        <family val="2"/>
        <scheme val="none"/>
      </font>
      <alignment horizontal="center" vertical="top" textRotation="0" wrapText="0"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196215</xdr:colOff>
      <xdr:row>0</xdr:row>
      <xdr:rowOff>146685</xdr:rowOff>
    </xdr:to>
    <xdr:pic>
      <xdr:nvPicPr>
        <xdr:cNvPr id="21012" name="Picture 1" hidden="1">
          <a:extLst>
            <a:ext uri="{FF2B5EF4-FFF2-40B4-BE49-F238E27FC236}">
              <a16:creationId xmlns:a16="http://schemas.microsoft.com/office/drawing/2014/main" id="{00000000-0008-0000-1000-0000145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179540"/>
          <a:ext cx="19812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209550</xdr:colOff>
      <xdr:row>0</xdr:row>
      <xdr:rowOff>135255</xdr:rowOff>
    </xdr:to>
    <xdr:pic>
      <xdr:nvPicPr>
        <xdr:cNvPr id="3" name="Picture 2" hidden="1">
          <a:extLst>
            <a:ext uri="{FF2B5EF4-FFF2-40B4-BE49-F238E27FC236}">
              <a16:creationId xmlns:a16="http://schemas.microsoft.com/office/drawing/2014/main" id="{F6694B45-6247-466C-A111-292E41C533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09550" cy="135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205740</xdr:colOff>
      <xdr:row>0</xdr:row>
      <xdr:rowOff>131445</xdr:rowOff>
    </xdr:to>
    <xdr:pic>
      <xdr:nvPicPr>
        <xdr:cNvPr id="4" name="Picture 1" hidden="1">
          <a:extLst>
            <a:ext uri="{FF2B5EF4-FFF2-40B4-BE49-F238E27FC236}">
              <a16:creationId xmlns:a16="http://schemas.microsoft.com/office/drawing/2014/main" id="{A0312E7A-091E-495D-8A95-C8290A12FD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05740" cy="131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4%20COST%20OF%20CARE%20FINAL%2001-02-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ily Cost Calc"/>
      <sheetName val="Sched-A"/>
      <sheetName val="Sched-B1"/>
      <sheetName val="Sched-B2"/>
      <sheetName val="Sched-C"/>
      <sheetName val="Sched-D1"/>
      <sheetName val="Sched-D2"/>
      <sheetName val="Summary-Sched-E"/>
      <sheetName val="Sched-E"/>
      <sheetName val="Property Inventory"/>
      <sheetName val="Sched-F-G"/>
      <sheetName val="CostReim"/>
      <sheetName val="COST ALLOCATION"/>
      <sheetName val="BILLING RATE CALC"/>
      <sheetName val="Inmate Avg Daily Population"/>
      <sheetName val="Avg Daily Community Jails"/>
      <sheetName val="IADP-By Gender"/>
      <sheetName val="Monthly PO Workload Stats"/>
      <sheetName val="Qtrly's-Cntsht Book"/>
      <sheetName val="CRC Avg Info by FY"/>
      <sheetName val="COC 2019-2023 COMPARISON"/>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6">
          <cell r="C26">
            <v>38658392.690000005</v>
          </cell>
          <cell r="D26">
            <v>288778.875</v>
          </cell>
        </row>
        <row r="27">
          <cell r="C27">
            <v>9013820.6099999994</v>
          </cell>
          <cell r="D27">
            <v>38629.166666666664</v>
          </cell>
        </row>
        <row r="28">
          <cell r="C28">
            <v>15743845.16</v>
          </cell>
          <cell r="D28">
            <v>86669.25</v>
          </cell>
        </row>
        <row r="29">
          <cell r="C29">
            <v>50786863.929999992</v>
          </cell>
          <cell r="D29">
            <v>475950.87500000006</v>
          </cell>
        </row>
        <row r="30">
          <cell r="C30">
            <v>19443168.969999999</v>
          </cell>
          <cell r="D30">
            <v>126782.74999999999</v>
          </cell>
        </row>
        <row r="31">
          <cell r="C31">
            <v>5489561.1299999999</v>
          </cell>
          <cell r="D31">
            <v>18219.583333333332</v>
          </cell>
        </row>
        <row r="32">
          <cell r="C32">
            <v>13135719.550000001</v>
          </cell>
          <cell r="D32">
            <v>51699.208333333336</v>
          </cell>
        </row>
        <row r="33">
          <cell r="C33">
            <v>8146283.6799999997</v>
          </cell>
          <cell r="D33">
            <v>29914.791666666664</v>
          </cell>
        </row>
        <row r="34">
          <cell r="C34">
            <v>17809539.230000004</v>
          </cell>
          <cell r="D34">
            <v>163386.16666666669</v>
          </cell>
        </row>
        <row r="35">
          <cell r="C35">
            <v>6261926.4699999997</v>
          </cell>
          <cell r="D35">
            <v>23469.5</v>
          </cell>
        </row>
        <row r="36">
          <cell r="C36">
            <v>27230886.369999997</v>
          </cell>
          <cell r="D36">
            <v>144403.125</v>
          </cell>
        </row>
        <row r="37">
          <cell r="C37">
            <v>18702357.32</v>
          </cell>
          <cell r="D37">
            <v>153108.375</v>
          </cell>
        </row>
        <row r="38">
          <cell r="C38">
            <v>11478694.629999999</v>
          </cell>
          <cell r="D38">
            <v>60526.124999999993</v>
          </cell>
        </row>
        <row r="39">
          <cell r="C39">
            <v>241901059.74000004</v>
          </cell>
          <cell r="D39">
            <v>1661537.791666667</v>
          </cell>
          <cell r="J39">
            <v>202.21196672775406</v>
          </cell>
        </row>
      </sheetData>
      <sheetData sheetId="14"/>
      <sheetData sheetId="15"/>
      <sheetData sheetId="16"/>
      <sheetData sheetId="17"/>
      <sheetData sheetId="18"/>
      <sheetData sheetId="19"/>
      <sheetData sheetId="20"/>
      <sheetData sheetId="2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1267554-404B-4C5B-BB09-CD752539EB60}" name="Table1" displayName="Table1" ref="A3:H58" totalsRowShown="0" headerRowDxfId="9" headerRowBorderDxfId="8" tableBorderDxfId="7">
  <autoFilter ref="A3:H58" xr:uid="{11267554-404B-4C5B-BB09-CD752539EB60}"/>
  <tableColumns count="8">
    <tableColumn id="1" xr3:uid="{FA1BB5FD-F768-4A80-B39E-A29C2275D80E}" name="LOCATION"/>
    <tableColumn id="3" xr3:uid="{BFE8127E-0FC9-4AEA-946A-B12027605556}" name="Misdemeanor _x000a_Male Inmate     " dataDxfId="6"/>
    <tableColumn id="4" xr3:uid="{3A4182ED-84FD-4D8A-842F-855B9191C179}" name="Misdemeanor Male _x000a_Unsentenced" dataDxfId="5"/>
    <tableColumn id="5" xr3:uid="{63EC815B-A7FF-44C6-9426-1ACF5D54C89F}" name="Misdemeanor_x000a_ Female Inmate     " dataDxfId="4"/>
    <tableColumn id="6" xr3:uid="{697D24F0-B904-45E1-B278-7F37E6807A03}" name="Misdemeanor _x000a_Female Unsentenced" dataDxfId="3"/>
    <tableColumn id="10" xr3:uid="{918E4011-895E-41A0-9BE1-071DE5EA8ED9}" name="Felon _x000a_Female Inmate     " dataDxfId="2"/>
    <tableColumn id="11" xr3:uid="{00C11F34-F7CD-4256-BEBD-AF09088BF91B}" name="Felon _x000a_Female Unsentenced" dataDxfId="1"/>
    <tableColumn id="13" xr3:uid="{5AF14F02-CFA6-4A66-8092-8BD560F4BA60}" name="Grand_x000a_Total"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59999389629810485"/>
  </sheetPr>
  <dimension ref="A1:E54"/>
  <sheetViews>
    <sheetView showGridLines="0" tabSelected="1" zoomScaleNormal="100" workbookViewId="0">
      <selection activeCell="A2" sqref="A2"/>
    </sheetView>
  </sheetViews>
  <sheetFormatPr defaultColWidth="9.140625" defaultRowHeight="15.75" x14ac:dyDescent="0.25"/>
  <cols>
    <col min="1" max="1" width="70" style="828" customWidth="1"/>
    <col min="2" max="2" width="21.140625" style="828" customWidth="1"/>
    <col min="3" max="3" width="1.85546875" style="828" hidden="1" customWidth="1"/>
    <col min="4" max="4" width="18.140625" style="828" customWidth="1"/>
    <col min="5" max="5" width="14.7109375" style="828" customWidth="1"/>
    <col min="6" max="16384" width="9.140625" style="828"/>
  </cols>
  <sheetData>
    <row r="1" spans="1:5" ht="27" customHeight="1" thickBot="1" x14ac:dyDescent="0.3">
      <c r="A1" s="944" t="s">
        <v>973</v>
      </c>
      <c r="B1" s="944"/>
    </row>
    <row r="2" spans="1:5" ht="16.5" thickTop="1" x14ac:dyDescent="0.25">
      <c r="A2" s="829" t="s">
        <v>206</v>
      </c>
      <c r="B2" s="830">
        <f>'BILLING RATE CALC'!F23</f>
        <v>364054188.24511009</v>
      </c>
      <c r="E2" s="831"/>
    </row>
    <row r="3" spans="1:5" x14ac:dyDescent="0.25">
      <c r="A3" s="832" t="s">
        <v>828</v>
      </c>
      <c r="B3" s="833">
        <f>B2/366</f>
        <v>994683.5744401915</v>
      </c>
    </row>
    <row r="4" spans="1:5" x14ac:dyDescent="0.25">
      <c r="A4" s="832" t="s">
        <v>829</v>
      </c>
      <c r="B4" s="834">
        <f>'Inmate Avg Daily Population'!N18</f>
        <v>4446.583333333333</v>
      </c>
    </row>
    <row r="5" spans="1:5" x14ac:dyDescent="0.25">
      <c r="A5" s="832" t="s">
        <v>831</v>
      </c>
      <c r="B5" s="834">
        <f>B4*366</f>
        <v>1627449.5</v>
      </c>
    </row>
    <row r="6" spans="1:5" s="837" customFormat="1" ht="16.5" thickBot="1" x14ac:dyDescent="0.3">
      <c r="A6" s="835" t="s">
        <v>207</v>
      </c>
      <c r="B6" s="836">
        <f>'BILLING RATE CALC'!G23</f>
        <v>223.69615047662623</v>
      </c>
      <c r="D6" s="828"/>
    </row>
    <row r="7" spans="1:5" ht="15.6" customHeight="1" x14ac:dyDescent="0.25">
      <c r="A7" s="838"/>
      <c r="B7" s="839"/>
    </row>
    <row r="8" spans="1:5" ht="15.6" customHeight="1" x14ac:dyDescent="0.25">
      <c r="A8" s="840" t="s">
        <v>0</v>
      </c>
      <c r="B8" s="841" t="s">
        <v>0</v>
      </c>
    </row>
    <row r="9" spans="1:5" x14ac:dyDescent="0.25">
      <c r="A9" s="832" t="s">
        <v>208</v>
      </c>
      <c r="B9" s="842">
        <f>'COST ALLOCATION'!J41</f>
        <v>24033917.42350442</v>
      </c>
    </row>
    <row r="10" spans="1:5" x14ac:dyDescent="0.25">
      <c r="A10" s="832" t="s">
        <v>828</v>
      </c>
      <c r="B10" s="843">
        <f>B9/366</f>
        <v>65666.441047826287</v>
      </c>
    </row>
    <row r="11" spans="1:5" x14ac:dyDescent="0.25">
      <c r="A11" s="844" t="s">
        <v>830</v>
      </c>
      <c r="B11" s="845">
        <f>'Inmate Avg Daily Population'!N20+'Inmate Avg Daily Population'!N21</f>
        <v>387</v>
      </c>
    </row>
    <row r="12" spans="1:5" x14ac:dyDescent="0.25">
      <c r="A12" s="832" t="s">
        <v>831</v>
      </c>
      <c r="B12" s="834">
        <f>B11*366</f>
        <v>141642</v>
      </c>
    </row>
    <row r="13" spans="1:5" ht="16.5" thickBot="1" x14ac:dyDescent="0.3">
      <c r="A13" s="835" t="s">
        <v>408</v>
      </c>
      <c r="B13" s="846">
        <f>B10/B11</f>
        <v>169.68072622177334</v>
      </c>
    </row>
    <row r="14" spans="1:5" ht="15.6" customHeight="1" x14ac:dyDescent="0.25">
      <c r="A14" s="847"/>
      <c r="B14" s="839"/>
    </row>
    <row r="15" spans="1:5" ht="15.6" customHeight="1" x14ac:dyDescent="0.25">
      <c r="A15" s="840" t="s">
        <v>0</v>
      </c>
      <c r="B15" s="841" t="s">
        <v>0</v>
      </c>
    </row>
    <row r="16" spans="1:5" x14ac:dyDescent="0.25">
      <c r="A16" s="832" t="s">
        <v>209</v>
      </c>
      <c r="B16" s="842">
        <f>'COST ALLOCATION'!J38+'COST ALLOCATION'!J37</f>
        <v>20170806.983297188</v>
      </c>
    </row>
    <row r="17" spans="1:3" x14ac:dyDescent="0.25">
      <c r="A17" s="832" t="s">
        <v>828</v>
      </c>
      <c r="B17" s="848">
        <f>B16/366</f>
        <v>55111.494489883029</v>
      </c>
    </row>
    <row r="18" spans="1:3" x14ac:dyDescent="0.25">
      <c r="A18" s="832" t="s">
        <v>832</v>
      </c>
      <c r="B18" s="849">
        <f>'Monthly PO Workload Stats'!H393</f>
        <v>3968.1666666666661</v>
      </c>
      <c r="C18" s="850" t="s">
        <v>147</v>
      </c>
    </row>
    <row r="19" spans="1:3" x14ac:dyDescent="0.25">
      <c r="A19" s="832" t="s">
        <v>831</v>
      </c>
      <c r="B19" s="834">
        <f>B18*366</f>
        <v>1452348.9999999998</v>
      </c>
    </row>
    <row r="20" spans="1:3" s="837" customFormat="1" ht="16.5" thickBot="1" x14ac:dyDescent="0.3">
      <c r="A20" s="835" t="s">
        <v>223</v>
      </c>
      <c r="B20" s="836">
        <f>B17/B18</f>
        <v>13.888402156297964</v>
      </c>
    </row>
    <row r="21" spans="1:3" ht="15.6" customHeight="1" x14ac:dyDescent="0.25">
      <c r="A21" s="838"/>
      <c r="B21" s="839"/>
    </row>
    <row r="22" spans="1:3" ht="15.6" customHeight="1" x14ac:dyDescent="0.25">
      <c r="A22" s="851"/>
      <c r="B22" s="852"/>
    </row>
    <row r="23" spans="1:3" x14ac:dyDescent="0.25">
      <c r="A23" s="832" t="s">
        <v>210</v>
      </c>
      <c r="B23" s="842">
        <f>'COST ALLOCATION'!J36</f>
        <v>10146337.984533066</v>
      </c>
    </row>
    <row r="24" spans="1:3" x14ac:dyDescent="0.25">
      <c r="A24" s="832" t="s">
        <v>828</v>
      </c>
      <c r="B24" s="843">
        <f>B23/366</f>
        <v>27722.234930418213</v>
      </c>
    </row>
    <row r="25" spans="1:3" x14ac:dyDescent="0.25">
      <c r="A25" s="832" t="s">
        <v>833</v>
      </c>
      <c r="B25" s="853">
        <f>'Avg Daily Community Jails'!H42</f>
        <v>34.457650273224047</v>
      </c>
      <c r="C25" s="850" t="s">
        <v>147</v>
      </c>
    </row>
    <row r="26" spans="1:3" x14ac:dyDescent="0.25">
      <c r="A26" s="832" t="s">
        <v>831</v>
      </c>
      <c r="B26" s="834">
        <f>B25*366</f>
        <v>12611.500000000002</v>
      </c>
    </row>
    <row r="27" spans="1:3" s="837" customFormat="1" ht="16.5" thickBot="1" x14ac:dyDescent="0.3">
      <c r="A27" s="835" t="s">
        <v>74</v>
      </c>
      <c r="B27" s="836">
        <f>B24/B25</f>
        <v>804.53062558244972</v>
      </c>
    </row>
    <row r="28" spans="1:3" ht="15.6" customHeight="1" x14ac:dyDescent="0.25">
      <c r="A28" s="838"/>
      <c r="B28" s="839"/>
    </row>
    <row r="29" spans="1:3" ht="15.6" customHeight="1" x14ac:dyDescent="0.25">
      <c r="A29" s="851"/>
      <c r="B29" s="852"/>
    </row>
    <row r="30" spans="1:3" x14ac:dyDescent="0.25">
      <c r="A30" s="832" t="s">
        <v>275</v>
      </c>
      <c r="B30" s="842">
        <f>'COST ALLOCATION'!J40</f>
        <v>2732110.3353411513</v>
      </c>
    </row>
    <row r="31" spans="1:3" x14ac:dyDescent="0.25">
      <c r="A31" s="832" t="s">
        <v>828</v>
      </c>
      <c r="B31" s="842">
        <f>B30/366</f>
        <v>7464.7823369976813</v>
      </c>
    </row>
    <row r="32" spans="1:3" x14ac:dyDescent="0.25">
      <c r="A32" s="832" t="s">
        <v>834</v>
      </c>
      <c r="B32" s="853">
        <f>'Inmate Avg Daily Population'!N23</f>
        <v>244.08333333333334</v>
      </c>
      <c r="C32" s="850" t="s">
        <v>147</v>
      </c>
    </row>
    <row r="33" spans="1:2" x14ac:dyDescent="0.25">
      <c r="A33" s="832" t="s">
        <v>831</v>
      </c>
      <c r="B33" s="834">
        <f>B32*366</f>
        <v>89334.5</v>
      </c>
    </row>
    <row r="34" spans="1:2" s="837" customFormat="1" ht="16.5" thickBot="1" x14ac:dyDescent="0.3">
      <c r="A34" s="835" t="s">
        <v>74</v>
      </c>
      <c r="B34" s="836">
        <f>B31/B32</f>
        <v>30.582925245466772</v>
      </c>
    </row>
    <row r="35" spans="1:2" ht="15.6" customHeight="1" x14ac:dyDescent="0.25">
      <c r="A35" s="838"/>
      <c r="B35" s="839"/>
    </row>
    <row r="36" spans="1:2" ht="15.6" customHeight="1" x14ac:dyDescent="0.25">
      <c r="A36" s="851"/>
      <c r="B36" s="852"/>
    </row>
    <row r="37" spans="1:2" x14ac:dyDescent="0.25">
      <c r="A37" s="832" t="s">
        <v>416</v>
      </c>
      <c r="B37" s="842">
        <f>'COST ALLOCATION'!J39</f>
        <v>150381.89074785131</v>
      </c>
    </row>
    <row r="38" spans="1:2" x14ac:dyDescent="0.25">
      <c r="A38" s="832" t="s">
        <v>828</v>
      </c>
      <c r="B38" s="843">
        <f>B37/366</f>
        <v>410.87948291762655</v>
      </c>
    </row>
    <row r="39" spans="1:2" x14ac:dyDescent="0.25">
      <c r="A39" s="832" t="s">
        <v>835</v>
      </c>
      <c r="B39" s="853">
        <f>'Inmate Avg Daily Population'!N26+'Inmate Avg Daily Population'!N27</f>
        <v>6.916666666666667</v>
      </c>
    </row>
    <row r="40" spans="1:2" x14ac:dyDescent="0.25">
      <c r="A40" s="832" t="s">
        <v>831</v>
      </c>
      <c r="B40" s="834">
        <f>B39*366</f>
        <v>2531.5</v>
      </c>
    </row>
    <row r="41" spans="1:2" s="837" customFormat="1" ht="16.5" thickBot="1" x14ac:dyDescent="0.3">
      <c r="A41" s="835" t="s">
        <v>76</v>
      </c>
      <c r="B41" s="836">
        <f>B38/B39</f>
        <v>59.404262590500224</v>
      </c>
    </row>
    <row r="42" spans="1:2" ht="15.6" customHeight="1" x14ac:dyDescent="0.25">
      <c r="A42" s="854" t="s">
        <v>0</v>
      </c>
      <c r="B42" s="855" t="s">
        <v>0</v>
      </c>
    </row>
    <row r="43" spans="1:2" ht="15.6" customHeight="1" x14ac:dyDescent="0.25"/>
    <row r="44" spans="1:2" x14ac:dyDescent="0.25">
      <c r="A44" s="832" t="s">
        <v>697</v>
      </c>
      <c r="B44" s="842">
        <f>'COST ALLOCATION'!J35</f>
        <v>14756513.983052606</v>
      </c>
    </row>
    <row r="45" spans="1:2" x14ac:dyDescent="0.25">
      <c r="A45" s="832" t="s">
        <v>828</v>
      </c>
      <c r="B45" s="856">
        <f>B44/366</f>
        <v>40318.344215990728</v>
      </c>
    </row>
    <row r="46" spans="1:2" x14ac:dyDescent="0.25">
      <c r="A46" s="832" t="s">
        <v>836</v>
      </c>
      <c r="B46" s="853">
        <f>'Inmate Avg Daily Population'!N25</f>
        <v>1339.0833333333333</v>
      </c>
    </row>
    <row r="47" spans="1:2" x14ac:dyDescent="0.25">
      <c r="A47" s="832" t="s">
        <v>831</v>
      </c>
      <c r="B47" s="853">
        <f>B46*366</f>
        <v>490104.5</v>
      </c>
    </row>
    <row r="48" spans="1:2" ht="16.5" thickBot="1" x14ac:dyDescent="0.3">
      <c r="A48" s="835" t="s">
        <v>76</v>
      </c>
      <c r="B48" s="836">
        <f>B45/B46</f>
        <v>30.108913472642278</v>
      </c>
    </row>
    <row r="49" spans="1:2" x14ac:dyDescent="0.25">
      <c r="A49" s="828" t="s">
        <v>827</v>
      </c>
    </row>
    <row r="50" spans="1:2" x14ac:dyDescent="0.25">
      <c r="A50" s="857"/>
      <c r="B50" s="858" t="s">
        <v>75</v>
      </c>
    </row>
    <row r="51" spans="1:2" x14ac:dyDescent="0.25">
      <c r="A51" s="859" t="s">
        <v>970</v>
      </c>
      <c r="B51" s="860"/>
    </row>
    <row r="52" spans="1:2" x14ac:dyDescent="0.25">
      <c r="A52" s="837"/>
      <c r="B52" s="860"/>
    </row>
    <row r="53" spans="1:2" x14ac:dyDescent="0.25">
      <c r="A53" s="837"/>
      <c r="B53" s="860"/>
    </row>
    <row r="54" spans="1:2" x14ac:dyDescent="0.25">
      <c r="A54" s="837"/>
      <c r="B54" s="860"/>
    </row>
  </sheetData>
  <mergeCells count="1">
    <mergeCell ref="A1:B1"/>
  </mergeCells>
  <phoneticPr fontId="22" type="noConversion"/>
  <printOptions horizontalCentered="1" verticalCentered="1"/>
  <pageMargins left="0.25" right="0.25" top="0.9" bottom="0.6" header="0.3" footer="0.3"/>
  <pageSetup scale="91" fitToHeight="0" orientation="portrait" r:id="rId1"/>
  <headerFooter alignWithMargins="0">
    <oddHeader>&amp;C&amp;"Arial,Bold"&amp;12DEPARTMENT OF CORRECTIONS
FY2025/FY2026 Daily Cost of Care Rate</oddHeader>
    <oddFooter>&amp;L&amp;8FY2025/FY2026 Daily Cost of Care Rate&amp;R&amp;8&amp;P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59999389629810485"/>
  </sheetPr>
  <dimension ref="A1:N42"/>
  <sheetViews>
    <sheetView showGridLines="0" workbookViewId="0">
      <selection sqref="A1:H1"/>
    </sheetView>
  </sheetViews>
  <sheetFormatPr defaultColWidth="9.140625" defaultRowHeight="15.75" x14ac:dyDescent="0.25"/>
  <cols>
    <col min="1" max="1" width="17" style="106" customWidth="1"/>
    <col min="2" max="2" width="6.5703125" style="106" customWidth="1"/>
    <col min="3" max="3" width="5.85546875" style="106" bestFit="1" customWidth="1"/>
    <col min="4" max="4" width="16.7109375" style="106" customWidth="1"/>
    <col min="5" max="5" width="5.85546875" style="106" customWidth="1"/>
    <col min="6" max="6" width="14.140625" style="106" customWidth="1"/>
    <col min="7" max="7" width="9.140625" style="106"/>
    <col min="8" max="8" width="27.5703125" style="106" customWidth="1"/>
    <col min="9" max="9" width="18.140625" style="106" bestFit="1" customWidth="1"/>
    <col min="10" max="13" width="9.140625" style="106"/>
    <col min="14" max="14" width="16.85546875" style="106" bestFit="1" customWidth="1"/>
    <col min="15" max="16384" width="9.140625" style="106"/>
  </cols>
  <sheetData>
    <row r="1" spans="1:14" ht="28.5" customHeight="1" thickBot="1" x14ac:dyDescent="0.3">
      <c r="A1" s="945" t="s">
        <v>165</v>
      </c>
      <c r="B1" s="945"/>
      <c r="C1" s="945"/>
      <c r="D1" s="945"/>
      <c r="E1" s="945"/>
      <c r="F1" s="945"/>
      <c r="G1" s="945"/>
      <c r="H1" s="945"/>
    </row>
    <row r="2" spans="1:14" s="148" customFormat="1" ht="38.25" customHeight="1" thickBot="1" x14ac:dyDescent="0.25">
      <c r="A2" s="950" t="s">
        <v>149</v>
      </c>
      <c r="B2" s="951"/>
      <c r="C2" s="951"/>
      <c r="D2" s="951"/>
      <c r="E2" s="951"/>
      <c r="F2" s="951"/>
      <c r="G2" s="951"/>
      <c r="H2" s="952"/>
    </row>
    <row r="3" spans="1:14" ht="27.75" customHeight="1" x14ac:dyDescent="0.25">
      <c r="A3" s="117" t="s">
        <v>150</v>
      </c>
      <c r="B3" s="118" t="s">
        <v>153</v>
      </c>
      <c r="C3" s="109"/>
      <c r="D3" s="109"/>
      <c r="E3" s="109" t="s">
        <v>152</v>
      </c>
      <c r="F3" s="109"/>
      <c r="H3" s="120" t="s">
        <v>154</v>
      </c>
    </row>
    <row r="4" spans="1:14" ht="27.75" customHeight="1" thickBot="1" x14ac:dyDescent="0.3">
      <c r="A4" s="121" t="s">
        <v>151</v>
      </c>
      <c r="B4" s="122" t="s">
        <v>279</v>
      </c>
      <c r="C4" s="123"/>
      <c r="D4" s="123"/>
      <c r="E4" s="123"/>
      <c r="F4" s="123"/>
      <c r="G4" s="123"/>
      <c r="H4" s="143"/>
    </row>
    <row r="5" spans="1:14" ht="42.6" customHeight="1" thickBot="1" x14ac:dyDescent="0.3">
      <c r="A5" s="950" t="s">
        <v>155</v>
      </c>
      <c r="B5" s="951"/>
      <c r="C5" s="951"/>
      <c r="D5" s="951"/>
      <c r="E5" s="951"/>
      <c r="F5" s="951"/>
      <c r="G5" s="951"/>
      <c r="H5" s="952"/>
    </row>
    <row r="6" spans="1:14" ht="24" customHeight="1" x14ac:dyDescent="0.25">
      <c r="A6" s="124" t="s">
        <v>156</v>
      </c>
      <c r="H6" s="125"/>
    </row>
    <row r="7" spans="1:14" ht="24" customHeight="1" x14ac:dyDescent="0.25">
      <c r="A7" s="126" t="s">
        <v>199</v>
      </c>
      <c r="C7" s="127" t="s">
        <v>157</v>
      </c>
      <c r="D7" s="128">
        <v>45108</v>
      </c>
      <c r="E7" s="127" t="s">
        <v>158</v>
      </c>
      <c r="F7" s="128">
        <v>45473</v>
      </c>
      <c r="H7" s="125"/>
    </row>
    <row r="8" spans="1:14" x14ac:dyDescent="0.25">
      <c r="A8" s="126"/>
      <c r="D8" s="144" t="s">
        <v>159</v>
      </c>
      <c r="F8" s="144" t="s">
        <v>159</v>
      </c>
      <c r="H8" s="129" t="s">
        <v>4</v>
      </c>
    </row>
    <row r="9" spans="1:14" ht="28.5" customHeight="1" x14ac:dyDescent="0.25">
      <c r="A9" s="126" t="s">
        <v>211</v>
      </c>
      <c r="H9" s="439">
        <f>'Sched-B1'!B17</f>
        <v>123499133.81999999</v>
      </c>
    </row>
    <row r="10" spans="1:14" ht="28.5" customHeight="1" x14ac:dyDescent="0.25">
      <c r="A10" s="126" t="s">
        <v>212</v>
      </c>
      <c r="H10" s="439">
        <f>'Sched-B1'!C17+'Sched-B1'!D17+'Sched-B1'!E17</f>
        <v>83945662.479999989</v>
      </c>
      <c r="I10" s="145"/>
    </row>
    <row r="11" spans="1:14" ht="28.5" customHeight="1" x14ac:dyDescent="0.25">
      <c r="A11" s="126" t="s">
        <v>160</v>
      </c>
      <c r="H11" s="439">
        <f>'Sched-C'!D24</f>
        <v>31053517.050000001</v>
      </c>
    </row>
    <row r="12" spans="1:14" ht="28.5" customHeight="1" x14ac:dyDescent="0.25">
      <c r="A12" s="126" t="s">
        <v>214</v>
      </c>
      <c r="H12" s="440">
        <f>'Sched-D1'!F708+'Sched-D2'!F148</f>
        <v>119352114.53999998</v>
      </c>
    </row>
    <row r="13" spans="1:14" ht="28.5" customHeight="1" x14ac:dyDescent="0.25">
      <c r="A13" s="126" t="s">
        <v>161</v>
      </c>
      <c r="H13" s="440">
        <f>'Sched-E'!E3</f>
        <v>12640735.099523716</v>
      </c>
    </row>
    <row r="14" spans="1:14" ht="24.75" customHeight="1" x14ac:dyDescent="0.25">
      <c r="A14" s="126" t="s">
        <v>162</v>
      </c>
      <c r="H14" s="439">
        <f>'Sched-F-G'!C18</f>
        <v>765227.60558640002</v>
      </c>
    </row>
    <row r="15" spans="1:14" ht="24" customHeight="1" x14ac:dyDescent="0.25">
      <c r="A15" s="126" t="s">
        <v>163</v>
      </c>
      <c r="H15" s="440">
        <f>'Sched-F-G'!D39</f>
        <v>8407145.8800000008</v>
      </c>
    </row>
    <row r="16" spans="1:14" ht="28.5" customHeight="1" x14ac:dyDescent="0.25">
      <c r="A16" s="126" t="s">
        <v>164</v>
      </c>
      <c r="H16" s="440">
        <f>SUM(H9:H15)</f>
        <v>379663536.47511011</v>
      </c>
      <c r="I16" s="106" t="s">
        <v>900</v>
      </c>
      <c r="N16" s="145"/>
    </row>
    <row r="17" spans="1:14" ht="28.5" customHeight="1" x14ac:dyDescent="0.25">
      <c r="A17" s="441" t="s">
        <v>407</v>
      </c>
      <c r="H17" s="791">
        <v>362022586.92000002</v>
      </c>
      <c r="I17" s="106" t="s">
        <v>825</v>
      </c>
      <c r="N17" s="145"/>
    </row>
    <row r="18" spans="1:14" ht="16.5" thickBot="1" x14ac:dyDescent="0.3">
      <c r="A18" s="121"/>
      <c r="B18" s="123"/>
      <c r="C18" s="123"/>
      <c r="D18" s="123"/>
      <c r="E18" s="123"/>
      <c r="F18" s="123"/>
      <c r="G18" s="123"/>
      <c r="H18" s="131"/>
      <c r="I18" s="145"/>
    </row>
    <row r="19" spans="1:14" ht="25.5" customHeight="1" thickBot="1" x14ac:dyDescent="0.3">
      <c r="A19" s="108" t="s">
        <v>172</v>
      </c>
    </row>
    <row r="20" spans="1:14" s="148" customFormat="1" ht="30.75" customHeight="1" thickBot="1" x14ac:dyDescent="0.25">
      <c r="A20" s="950" t="s">
        <v>166</v>
      </c>
      <c r="B20" s="951"/>
      <c r="C20" s="951"/>
      <c r="D20" s="951"/>
      <c r="E20" s="951"/>
      <c r="F20" s="951"/>
      <c r="G20" s="951"/>
      <c r="H20" s="952"/>
    </row>
    <row r="21" spans="1:14" ht="27.75" customHeight="1" x14ac:dyDescent="0.25">
      <c r="A21" s="108" t="s">
        <v>167</v>
      </c>
      <c r="E21" s="127" t="s">
        <v>170</v>
      </c>
      <c r="F21" s="128">
        <v>45108</v>
      </c>
      <c r="G21" s="127" t="s">
        <v>171</v>
      </c>
      <c r="H21" s="128">
        <v>45473</v>
      </c>
    </row>
    <row r="22" spans="1:14" x14ac:dyDescent="0.25">
      <c r="A22" s="141" t="s">
        <v>168</v>
      </c>
      <c r="F22" s="144" t="s">
        <v>159</v>
      </c>
      <c r="H22" s="144" t="s">
        <v>159</v>
      </c>
    </row>
    <row r="23" spans="1:14" ht="24" customHeight="1" x14ac:dyDescent="0.25">
      <c r="A23" s="108" t="s">
        <v>169</v>
      </c>
      <c r="D23" s="135" t="s">
        <v>173</v>
      </c>
      <c r="E23" s="135"/>
      <c r="F23" s="135" t="s">
        <v>174</v>
      </c>
      <c r="G23" s="135"/>
      <c r="H23" s="135" t="s">
        <v>47</v>
      </c>
    </row>
    <row r="24" spans="1:14" ht="24.75" customHeight="1" x14ac:dyDescent="0.25">
      <c r="D24" s="149" t="s">
        <v>96</v>
      </c>
      <c r="E24" s="135"/>
      <c r="F24" s="149" t="s">
        <v>96</v>
      </c>
      <c r="G24" s="135"/>
      <c r="H24" s="150">
        <v>5285</v>
      </c>
    </row>
    <row r="25" spans="1:14" ht="30" customHeight="1" x14ac:dyDescent="0.25">
      <c r="A25" s="108" t="s">
        <v>175</v>
      </c>
      <c r="B25" s="134"/>
      <c r="C25" s="134"/>
      <c r="D25" s="135" t="s">
        <v>173</v>
      </c>
      <c r="E25" s="135"/>
      <c r="F25" s="135" t="s">
        <v>174</v>
      </c>
      <c r="G25" s="135"/>
      <c r="H25" s="135" t="s">
        <v>47</v>
      </c>
    </row>
    <row r="26" spans="1:14" ht="24.75" customHeight="1" x14ac:dyDescent="0.25">
      <c r="A26" s="134" t="s">
        <v>176</v>
      </c>
      <c r="C26" s="127" t="s">
        <v>177</v>
      </c>
      <c r="D26" s="149" t="s">
        <v>96</v>
      </c>
      <c r="E26" s="135"/>
      <c r="F26" s="149" t="s">
        <v>96</v>
      </c>
      <c r="G26" s="135"/>
      <c r="H26" s="149"/>
    </row>
    <row r="27" spans="1:14" ht="24.75" customHeight="1" x14ac:dyDescent="0.25">
      <c r="C27" s="127" t="s">
        <v>178</v>
      </c>
      <c r="D27" s="149" t="s">
        <v>96</v>
      </c>
      <c r="E27" s="135"/>
      <c r="F27" s="149" t="s">
        <v>96</v>
      </c>
      <c r="G27" s="135"/>
      <c r="H27" s="149"/>
    </row>
    <row r="28" spans="1:14" ht="24.75" customHeight="1" x14ac:dyDescent="0.25">
      <c r="C28" s="127" t="s">
        <v>179</v>
      </c>
      <c r="D28" s="149" t="s">
        <v>96</v>
      </c>
      <c r="E28" s="135"/>
      <c r="F28" s="149" t="s">
        <v>96</v>
      </c>
      <c r="G28" s="135"/>
      <c r="H28" s="149"/>
    </row>
    <row r="29" spans="1:14" ht="24.75" customHeight="1" thickBot="1" x14ac:dyDescent="0.3">
      <c r="A29" s="146"/>
      <c r="C29" s="127" t="s">
        <v>26</v>
      </c>
      <c r="D29" s="151">
        <f>H29-F29</f>
        <v>4015.0299086757987</v>
      </c>
      <c r="E29" s="135"/>
      <c r="F29" s="152">
        <f>'IADP-By Gender'!J21</f>
        <v>431.55342465753426</v>
      </c>
      <c r="G29" s="135"/>
      <c r="H29" s="151">
        <f>'Inmate Avg Daily Population'!N18</f>
        <v>4446.583333333333</v>
      </c>
    </row>
    <row r="30" spans="1:14" ht="31.5" customHeight="1" thickBot="1" x14ac:dyDescent="0.3">
      <c r="A30" s="946" t="s">
        <v>180</v>
      </c>
      <c r="B30" s="947"/>
      <c r="C30" s="947"/>
      <c r="D30" s="947"/>
      <c r="E30" s="947"/>
      <c r="F30" s="947"/>
      <c r="G30" s="947"/>
      <c r="H30" s="948"/>
    </row>
    <row r="31" spans="1:14" ht="24.75" customHeight="1" x14ac:dyDescent="0.25">
      <c r="A31" s="106" t="s">
        <v>181</v>
      </c>
      <c r="F31" s="136">
        <f>'BILLING RATE CALC'!G23</f>
        <v>223.69615047662623</v>
      </c>
    </row>
    <row r="32" spans="1:14" ht="24.75" customHeight="1" thickBot="1" x14ac:dyDescent="0.3">
      <c r="A32" s="106" t="s">
        <v>182</v>
      </c>
      <c r="F32" s="137">
        <f>'BILLING RATE CALC'!G23</f>
        <v>223.69615047662623</v>
      </c>
    </row>
    <row r="33" spans="1:8" ht="26.25" customHeight="1" thickBot="1" x14ac:dyDescent="0.3">
      <c r="A33" s="946" t="s">
        <v>200</v>
      </c>
      <c r="B33" s="947"/>
      <c r="C33" s="947"/>
      <c r="D33" s="947"/>
      <c r="E33" s="947"/>
      <c r="F33" s="947"/>
      <c r="G33" s="947"/>
      <c r="H33" s="948"/>
    </row>
    <row r="34" spans="1:8" x14ac:dyDescent="0.25">
      <c r="A34" s="7" t="s">
        <v>183</v>
      </c>
    </row>
    <row r="35" spans="1:8" x14ac:dyDescent="0.25">
      <c r="A35" s="106" t="s">
        <v>184</v>
      </c>
      <c r="B35" s="108" t="s">
        <v>698</v>
      </c>
      <c r="E35" s="106" t="s">
        <v>187</v>
      </c>
      <c r="G35" s="108" t="s">
        <v>191</v>
      </c>
    </row>
    <row r="36" spans="1:8" x14ac:dyDescent="0.25">
      <c r="A36" s="106" t="s">
        <v>198</v>
      </c>
      <c r="B36" s="108" t="s">
        <v>798</v>
      </c>
      <c r="E36" s="106" t="s">
        <v>188</v>
      </c>
      <c r="G36" s="108" t="s">
        <v>192</v>
      </c>
    </row>
    <row r="37" spans="1:8" x14ac:dyDescent="0.25">
      <c r="A37" s="106" t="s">
        <v>185</v>
      </c>
      <c r="B37" s="108" t="s">
        <v>279</v>
      </c>
      <c r="E37" s="106" t="s">
        <v>189</v>
      </c>
      <c r="F37" s="108" t="s">
        <v>193</v>
      </c>
      <c r="G37" s="106" t="s">
        <v>190</v>
      </c>
      <c r="H37" s="108" t="s">
        <v>194</v>
      </c>
    </row>
    <row r="38" spans="1:8" ht="16.5" thickBot="1" x14ac:dyDescent="0.3">
      <c r="A38" s="106" t="s">
        <v>186</v>
      </c>
      <c r="B38" s="108" t="s">
        <v>278</v>
      </c>
    </row>
    <row r="39" spans="1:8" ht="16.5" thickBot="1" x14ac:dyDescent="0.3">
      <c r="A39" s="946" t="s">
        <v>195</v>
      </c>
      <c r="B39" s="947"/>
      <c r="C39" s="947"/>
      <c r="D39" s="947"/>
      <c r="E39" s="947"/>
      <c r="F39" s="947"/>
      <c r="G39" s="947"/>
      <c r="H39" s="948"/>
    </row>
    <row r="40" spans="1:8" ht="72.75" customHeight="1" x14ac:dyDescent="0.25">
      <c r="A40" s="949" t="s">
        <v>201</v>
      </c>
      <c r="B40" s="949"/>
      <c r="C40" s="949"/>
      <c r="D40" s="949"/>
      <c r="E40" s="949"/>
      <c r="F40" s="949"/>
      <c r="G40" s="949"/>
      <c r="H40" s="949"/>
    </row>
    <row r="41" spans="1:8" ht="27" customHeight="1" x14ac:dyDescent="0.25">
      <c r="A41" s="127" t="s">
        <v>196</v>
      </c>
      <c r="B41" s="147"/>
      <c r="C41" s="147"/>
      <c r="D41" s="147"/>
      <c r="F41" s="127" t="s">
        <v>197</v>
      </c>
      <c r="G41" s="147"/>
      <c r="H41" s="147"/>
    </row>
    <row r="42" spans="1:8" ht="27" customHeight="1" x14ac:dyDescent="0.25">
      <c r="A42" s="127" t="s">
        <v>184</v>
      </c>
      <c r="B42" s="139" t="s">
        <v>698</v>
      </c>
      <c r="C42" s="138"/>
      <c r="D42" s="138"/>
      <c r="F42" s="127" t="s">
        <v>198</v>
      </c>
      <c r="G42" s="139" t="s">
        <v>798</v>
      </c>
      <c r="H42" s="139"/>
    </row>
  </sheetData>
  <mergeCells count="8">
    <mergeCell ref="A1:H1"/>
    <mergeCell ref="A39:H39"/>
    <mergeCell ref="A33:H33"/>
    <mergeCell ref="A40:H40"/>
    <mergeCell ref="A2:H2"/>
    <mergeCell ref="A5:H5"/>
    <mergeCell ref="A20:H20"/>
    <mergeCell ref="A30:H30"/>
  </mergeCells>
  <phoneticPr fontId="22" type="noConversion"/>
  <printOptions horizontalCentered="1"/>
  <pageMargins left="0.25" right="0.25" top="1.25" bottom="0.25" header="0.3" footer="0.3"/>
  <pageSetup orientation="portrait" r:id="rId1"/>
  <headerFooter alignWithMargins="0">
    <oddHeader>&amp;C&amp;"Arial,Bold"&amp;12DEPARTMENT OF CORRECTIONS
 2025 COST OF CARE 
(Based on FY2024 Actuals)</oddHeader>
    <oddFooter>&amp;L&amp;8&amp;F &amp;A&amp;R&amp;8&amp;D &amp;T</oddFooter>
  </headerFooter>
  <rowBreaks count="1" manualBreakCount="1">
    <brk id="18" max="16383" man="1"/>
  </rowBreaks>
  <colBreaks count="1" manualBreakCount="1">
    <brk id="8"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59999389629810485"/>
  </sheetPr>
  <dimension ref="A1:H20"/>
  <sheetViews>
    <sheetView showGridLines="0" workbookViewId="0">
      <pane xSplit="1" ySplit="3" topLeftCell="B4" activePane="bottomRight" state="frozen"/>
      <selection activeCell="B35" sqref="B35"/>
      <selection pane="topRight" activeCell="B35" sqref="B35"/>
      <selection pane="bottomLeft" activeCell="B35" sqref="B35"/>
      <selection pane="bottomRight" activeCell="A4" sqref="A4"/>
    </sheetView>
  </sheetViews>
  <sheetFormatPr defaultColWidth="9.140625" defaultRowHeight="12.75" x14ac:dyDescent="0.2"/>
  <cols>
    <col min="1" max="1" width="21.28515625" style="101" bestFit="1" customWidth="1"/>
    <col min="2" max="2" width="18.85546875" style="101" bestFit="1" customWidth="1"/>
    <col min="3" max="3" width="18.28515625" style="101" customWidth="1"/>
    <col min="4" max="4" width="17" style="101" customWidth="1"/>
    <col min="5" max="5" width="17.5703125" style="101" customWidth="1"/>
    <col min="6" max="6" width="19.5703125" style="101" customWidth="1"/>
    <col min="7" max="7" width="11.85546875" style="101" customWidth="1"/>
    <col min="8" max="8" width="11.28515625" style="101" customWidth="1"/>
    <col min="9" max="16384" width="9.140625" style="101"/>
  </cols>
  <sheetData>
    <row r="1" spans="1:8" ht="15.75" x14ac:dyDescent="0.25">
      <c r="A1" s="953" t="s">
        <v>98</v>
      </c>
      <c r="B1" s="953"/>
      <c r="C1" s="953"/>
      <c r="D1" s="953"/>
      <c r="E1" s="953"/>
      <c r="F1" s="953"/>
      <c r="G1" s="953"/>
      <c r="H1" s="953"/>
    </row>
    <row r="2" spans="1:8" ht="35.25" customHeight="1" thickBot="1" x14ac:dyDescent="0.25">
      <c r="A2" s="954" t="s">
        <v>97</v>
      </c>
      <c r="B2" s="954"/>
      <c r="C2" s="954"/>
      <c r="D2" s="954"/>
      <c r="E2" s="954"/>
      <c r="F2" s="954"/>
      <c r="G2" s="954"/>
      <c r="H2" s="954"/>
    </row>
    <row r="3" spans="1:8" ht="33" thickTop="1" thickBot="1" x14ac:dyDescent="0.25">
      <c r="A3" s="154" t="s">
        <v>22</v>
      </c>
      <c r="B3" s="155" t="s">
        <v>99</v>
      </c>
      <c r="C3" s="154" t="s">
        <v>23</v>
      </c>
      <c r="D3" s="155" t="s">
        <v>100</v>
      </c>
      <c r="E3" s="155" t="s">
        <v>894</v>
      </c>
      <c r="F3" s="861" t="s">
        <v>101</v>
      </c>
      <c r="G3" s="155" t="s">
        <v>27</v>
      </c>
      <c r="H3" s="155" t="s">
        <v>274</v>
      </c>
    </row>
    <row r="4" spans="1:8" ht="23.25" customHeight="1" thickTop="1" x14ac:dyDescent="0.25">
      <c r="A4" s="102" t="s">
        <v>239</v>
      </c>
      <c r="B4" s="105">
        <v>21021252.149999999</v>
      </c>
      <c r="C4" s="105">
        <v>12729682.76</v>
      </c>
      <c r="D4" s="105">
        <v>21555.65</v>
      </c>
      <c r="E4" s="907">
        <f>344042.2+1473166.95</f>
        <v>1817209.15</v>
      </c>
      <c r="F4" s="862">
        <f t="shared" ref="F4:F16" si="0">SUM(B4:E4)</f>
        <v>35589699.709999993</v>
      </c>
      <c r="G4" s="161">
        <v>251</v>
      </c>
      <c r="H4" s="156">
        <v>829</v>
      </c>
    </row>
    <row r="5" spans="1:8" ht="23.25" customHeight="1" x14ac:dyDescent="0.25">
      <c r="A5" s="102" t="s">
        <v>71</v>
      </c>
      <c r="B5" s="105">
        <v>4902702.75</v>
      </c>
      <c r="C5" s="105">
        <v>2723998.8</v>
      </c>
      <c r="D5" s="105">
        <v>2909.13</v>
      </c>
      <c r="E5" s="907">
        <v>195539.67</v>
      </c>
      <c r="F5" s="862">
        <f t="shared" si="0"/>
        <v>7825150.3499999996</v>
      </c>
      <c r="G5" s="161">
        <v>42</v>
      </c>
      <c r="H5" s="156">
        <v>126</v>
      </c>
    </row>
    <row r="6" spans="1:8" ht="23.25" customHeight="1" x14ac:dyDescent="0.25">
      <c r="A6" s="102" t="s">
        <v>365</v>
      </c>
      <c r="B6" s="105">
        <v>10254179.42</v>
      </c>
      <c r="C6" s="105">
        <v>6501905.0999999996</v>
      </c>
      <c r="D6" s="105">
        <v>4948.47</v>
      </c>
      <c r="E6" s="907">
        <v>897001.52</v>
      </c>
      <c r="F6" s="862">
        <f t="shared" si="0"/>
        <v>17658034.510000002</v>
      </c>
      <c r="G6" s="161">
        <v>114</v>
      </c>
      <c r="H6" s="156">
        <v>395</v>
      </c>
    </row>
    <row r="7" spans="1:8" ht="23.25" customHeight="1" x14ac:dyDescent="0.25">
      <c r="A7" s="102" t="s">
        <v>24</v>
      </c>
      <c r="B7" s="105">
        <v>7877756.4100000001</v>
      </c>
      <c r="C7" s="105">
        <v>4760037.88</v>
      </c>
      <c r="D7" s="105">
        <v>5155.3900000000003</v>
      </c>
      <c r="E7" s="907">
        <v>563847.32999999996</v>
      </c>
      <c r="F7" s="862">
        <f t="shared" si="0"/>
        <v>13206797.01</v>
      </c>
      <c r="G7" s="161">
        <v>93</v>
      </c>
      <c r="H7" s="156">
        <v>248</v>
      </c>
    </row>
    <row r="8" spans="1:8" ht="23.25" customHeight="1" x14ac:dyDescent="0.25">
      <c r="A8" s="102" t="s">
        <v>342</v>
      </c>
      <c r="B8" s="105">
        <v>22976043.07</v>
      </c>
      <c r="C8" s="105">
        <v>14923607.4</v>
      </c>
      <c r="D8" s="105">
        <v>13511.68</v>
      </c>
      <c r="E8" s="907">
        <v>1221000.46</v>
      </c>
      <c r="F8" s="862">
        <f t="shared" si="0"/>
        <v>39134162.609999999</v>
      </c>
      <c r="G8" s="161">
        <v>330</v>
      </c>
      <c r="H8" s="156">
        <v>1408</v>
      </c>
    </row>
    <row r="9" spans="1:8" ht="23.25" customHeight="1" x14ac:dyDescent="0.25">
      <c r="A9" s="102" t="s">
        <v>15</v>
      </c>
      <c r="B9" s="105">
        <v>2951409.62</v>
      </c>
      <c r="C9" s="105">
        <v>1896984.97</v>
      </c>
      <c r="D9" s="105">
        <v>2872.26</v>
      </c>
      <c r="E9" s="907">
        <v>149593.16</v>
      </c>
      <c r="F9" s="862">
        <f t="shared" si="0"/>
        <v>5000860.01</v>
      </c>
      <c r="G9" s="161">
        <v>37</v>
      </c>
      <c r="H9" s="156">
        <v>52</v>
      </c>
    </row>
    <row r="10" spans="1:8" ht="23.25" customHeight="1" x14ac:dyDescent="0.25">
      <c r="A10" s="102" t="s">
        <v>16</v>
      </c>
      <c r="B10" s="105">
        <v>6614146.46</v>
      </c>
      <c r="C10" s="105">
        <v>4148291.55</v>
      </c>
      <c r="D10" s="105">
        <v>8286.81</v>
      </c>
      <c r="E10" s="907">
        <v>355708.69</v>
      </c>
      <c r="F10" s="862">
        <f t="shared" si="0"/>
        <v>11126433.51</v>
      </c>
      <c r="G10" s="161">
        <v>80</v>
      </c>
      <c r="H10" s="156">
        <v>124</v>
      </c>
    </row>
    <row r="11" spans="1:8" ht="23.25" customHeight="1" x14ac:dyDescent="0.25">
      <c r="A11" s="102" t="s">
        <v>121</v>
      </c>
      <c r="B11" s="105">
        <v>4716758.63</v>
      </c>
      <c r="C11" s="105">
        <v>2889326.27</v>
      </c>
      <c r="D11" s="105">
        <v>1603.08</v>
      </c>
      <c r="E11" s="907">
        <v>106805.28</v>
      </c>
      <c r="F11" s="862">
        <f t="shared" si="0"/>
        <v>7714493.2600000007</v>
      </c>
      <c r="G11" s="161">
        <v>50</v>
      </c>
      <c r="H11" s="156">
        <v>98</v>
      </c>
    </row>
    <row r="12" spans="1:8" ht="23.25" customHeight="1" x14ac:dyDescent="0.25">
      <c r="A12" s="102" t="s">
        <v>18</v>
      </c>
      <c r="B12" s="105">
        <v>8999241.4700000007</v>
      </c>
      <c r="C12" s="105">
        <v>5587327.5700000003</v>
      </c>
      <c r="D12" s="105">
        <v>4957.3599999999997</v>
      </c>
      <c r="E12" s="907">
        <v>423328.33</v>
      </c>
      <c r="F12" s="862">
        <f t="shared" si="0"/>
        <v>15014854.73</v>
      </c>
      <c r="G12" s="161">
        <v>106</v>
      </c>
      <c r="H12" s="156">
        <f>328+176</f>
        <v>504</v>
      </c>
    </row>
    <row r="13" spans="1:8" ht="23.25" customHeight="1" x14ac:dyDescent="0.25">
      <c r="A13" s="102" t="s">
        <v>19</v>
      </c>
      <c r="B13" s="105">
        <v>14267988.210000001</v>
      </c>
      <c r="C13" s="105">
        <v>8651978.5500000007</v>
      </c>
      <c r="D13" s="105">
        <v>11574.36</v>
      </c>
      <c r="E13" s="907">
        <v>1043588.62</v>
      </c>
      <c r="F13" s="862">
        <f t="shared" si="0"/>
        <v>23975129.740000002</v>
      </c>
      <c r="G13" s="161">
        <v>168</v>
      </c>
      <c r="H13" s="156">
        <v>535</v>
      </c>
    </row>
    <row r="14" spans="1:8" ht="23.25" customHeight="1" x14ac:dyDescent="0.25">
      <c r="A14" s="102" t="s">
        <v>25</v>
      </c>
      <c r="B14" s="105">
        <v>9842955.7200000007</v>
      </c>
      <c r="C14" s="105">
        <v>6172769.2400000002</v>
      </c>
      <c r="D14" s="105">
        <v>8920.85</v>
      </c>
      <c r="E14" s="907">
        <v>391284.29</v>
      </c>
      <c r="F14" s="862">
        <f t="shared" si="0"/>
        <v>16415930.1</v>
      </c>
      <c r="G14" s="161">
        <v>119</v>
      </c>
      <c r="H14" s="156">
        <f>354+111</f>
        <v>465</v>
      </c>
    </row>
    <row r="15" spans="1:8" ht="23.25" customHeight="1" x14ac:dyDescent="0.25">
      <c r="A15" s="102" t="s">
        <v>72</v>
      </c>
      <c r="B15" s="105">
        <v>6032830.0800000001</v>
      </c>
      <c r="C15" s="105">
        <v>3579958.38</v>
      </c>
      <c r="D15" s="105">
        <v>3665.68</v>
      </c>
      <c r="E15" s="907">
        <v>202205.79</v>
      </c>
      <c r="F15" s="862">
        <f t="shared" si="0"/>
        <v>9818659.9299999997</v>
      </c>
      <c r="G15" s="161">
        <v>52</v>
      </c>
      <c r="H15" s="156">
        <v>189</v>
      </c>
    </row>
    <row r="16" spans="1:8" ht="23.25" customHeight="1" thickBot="1" x14ac:dyDescent="0.3">
      <c r="A16" s="102" t="s">
        <v>240</v>
      </c>
      <c r="B16" s="105">
        <v>3041869.83</v>
      </c>
      <c r="C16" s="105">
        <v>1787810.06</v>
      </c>
      <c r="D16" s="105">
        <v>2023.23</v>
      </c>
      <c r="E16" s="907">
        <v>132887.71</v>
      </c>
      <c r="F16" s="862">
        <f t="shared" si="0"/>
        <v>4964590.830000001</v>
      </c>
      <c r="G16" s="162">
        <v>30</v>
      </c>
      <c r="H16" s="157">
        <v>128</v>
      </c>
    </row>
    <row r="17" spans="1:8" ht="23.25" customHeight="1" thickBot="1" x14ac:dyDescent="0.3">
      <c r="A17" s="158" t="s">
        <v>26</v>
      </c>
      <c r="B17" s="159">
        <f t="shared" ref="B17:E17" si="1">SUM(B4:B16)</f>
        <v>123499133.81999999</v>
      </c>
      <c r="C17" s="159">
        <f t="shared" si="1"/>
        <v>76353678.529999986</v>
      </c>
      <c r="D17" s="159">
        <f t="shared" si="1"/>
        <v>91983.95</v>
      </c>
      <c r="E17" s="159">
        <f t="shared" si="1"/>
        <v>7500000.0000000009</v>
      </c>
      <c r="F17" s="863">
        <f>SUM(F4:F16)</f>
        <v>207444796.30000001</v>
      </c>
      <c r="G17" s="598">
        <f>SUM(G4:G16)</f>
        <v>1472</v>
      </c>
      <c r="H17" s="598">
        <f>SUM(H4:H16)</f>
        <v>5101</v>
      </c>
    </row>
    <row r="18" spans="1:8" ht="16.5" thickTop="1" x14ac:dyDescent="0.25">
      <c r="A18" s="160"/>
    </row>
    <row r="19" spans="1:8" x14ac:dyDescent="0.2">
      <c r="A19" s="153" t="s">
        <v>837</v>
      </c>
      <c r="C19" s="130"/>
      <c r="D19" s="130"/>
      <c r="E19" s="130"/>
    </row>
    <row r="20" spans="1:8" ht="15.75" x14ac:dyDescent="0.25">
      <c r="A20" s="108"/>
    </row>
  </sheetData>
  <mergeCells count="2">
    <mergeCell ref="A1:H1"/>
    <mergeCell ref="A2:H2"/>
  </mergeCells>
  <phoneticPr fontId="22" type="noConversion"/>
  <printOptions horizontalCentered="1" verticalCentered="1"/>
  <pageMargins left="0.25" right="0.25" top="0.75" bottom="0.75" header="0.3" footer="0.3"/>
  <pageSetup orientation="landscape" r:id="rId1"/>
  <headerFooter alignWithMargins="0">
    <oddHeader>&amp;C&amp;"Arial,Bold"&amp;12DEPARTMENT OF CORRECTIONS
 2025 COST OF CARE 
(Based on FY2024 Actuals)</oddHeader>
    <oddFooter>&amp;L&amp;8&amp;F &amp;A&amp;R&amp;8&amp;D &amp;T</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59999389629810485"/>
  </sheetPr>
  <dimension ref="A1:H274"/>
  <sheetViews>
    <sheetView showGridLines="0" workbookViewId="0">
      <selection activeCell="E225" sqref="E225"/>
    </sheetView>
  </sheetViews>
  <sheetFormatPr defaultColWidth="9.140625" defaultRowHeight="15" x14ac:dyDescent="0.25"/>
  <cols>
    <col min="1" max="1" width="19.85546875" style="110" bestFit="1" customWidth="1"/>
    <col min="2" max="2" width="29.5703125" style="110" customWidth="1"/>
    <col min="3" max="3" width="13.42578125" style="110" customWidth="1"/>
    <col min="4" max="4" width="15.7109375" style="110" customWidth="1"/>
    <col min="5" max="5" width="18.28515625" style="110" customWidth="1"/>
    <col min="6" max="6" width="8.28515625" style="171" customWidth="1"/>
    <col min="7" max="7" width="22.140625" style="110" customWidth="1"/>
    <col min="8" max="8" width="18.28515625" style="110" customWidth="1"/>
    <col min="9" max="16384" width="9.140625" style="110"/>
  </cols>
  <sheetData>
    <row r="1" spans="1:7" s="227" customFormat="1" ht="22.5" customHeight="1" thickBot="1" x14ac:dyDescent="0.25">
      <c r="A1" s="955" t="s">
        <v>222</v>
      </c>
      <c r="B1" s="955"/>
      <c r="C1" s="955"/>
      <c r="D1" s="955"/>
      <c r="E1" s="955"/>
      <c r="F1" s="226"/>
    </row>
    <row r="2" spans="1:7" ht="30" customHeight="1" thickTop="1" thickBot="1" x14ac:dyDescent="0.3">
      <c r="A2" s="228" t="s">
        <v>1</v>
      </c>
      <c r="B2" s="229" t="s">
        <v>2</v>
      </c>
      <c r="C2" s="229" t="s">
        <v>3</v>
      </c>
      <c r="D2" s="229" t="s">
        <v>4</v>
      </c>
      <c r="E2" s="228" t="s">
        <v>5</v>
      </c>
      <c r="F2" s="172" t="s">
        <v>426</v>
      </c>
    </row>
    <row r="3" spans="1:7" ht="12.75" customHeight="1" thickTop="1" x14ac:dyDescent="0.25">
      <c r="A3" s="173" t="s">
        <v>239</v>
      </c>
      <c r="B3" s="174" t="s">
        <v>12</v>
      </c>
      <c r="C3" s="175" t="s">
        <v>241</v>
      </c>
      <c r="D3" s="176"/>
      <c r="E3" s="177" t="s">
        <v>0</v>
      </c>
      <c r="F3" s="171">
        <v>1027</v>
      </c>
    </row>
    <row r="4" spans="1:7" ht="12.75" customHeight="1" x14ac:dyDescent="0.25">
      <c r="A4" s="103"/>
      <c r="B4" s="178" t="s">
        <v>650</v>
      </c>
      <c r="C4" s="179">
        <v>6.13E-2</v>
      </c>
      <c r="D4" s="180"/>
      <c r="E4" s="181" t="s">
        <v>0</v>
      </c>
      <c r="F4" s="171">
        <v>1028</v>
      </c>
      <c r="G4" s="182"/>
    </row>
    <row r="5" spans="1:7" ht="12.75" customHeight="1" x14ac:dyDescent="0.25">
      <c r="A5" s="103"/>
      <c r="B5" s="178" t="s">
        <v>427</v>
      </c>
      <c r="C5" s="179">
        <v>0.2676</v>
      </c>
      <c r="D5" s="180"/>
      <c r="E5" s="183" t="s">
        <v>0</v>
      </c>
      <c r="F5" s="171">
        <v>1029</v>
      </c>
    </row>
    <row r="6" spans="1:7" ht="12.75" customHeight="1" x14ac:dyDescent="0.25">
      <c r="A6" s="103"/>
      <c r="B6" s="178" t="s">
        <v>428</v>
      </c>
      <c r="C6" s="474" t="s">
        <v>96</v>
      </c>
      <c r="D6" s="180"/>
      <c r="E6" s="183" t="s">
        <v>0</v>
      </c>
      <c r="F6" s="171">
        <v>1030</v>
      </c>
    </row>
    <row r="7" spans="1:7" ht="12.75" customHeight="1" x14ac:dyDescent="0.25">
      <c r="A7" s="103"/>
      <c r="B7" s="178" t="s">
        <v>429</v>
      </c>
      <c r="C7" s="474" t="s">
        <v>96</v>
      </c>
      <c r="D7" s="180"/>
      <c r="E7" s="183" t="s">
        <v>0</v>
      </c>
      <c r="F7" s="171">
        <v>1034</v>
      </c>
    </row>
    <row r="8" spans="1:7" ht="12.75" customHeight="1" x14ac:dyDescent="0.25">
      <c r="A8" s="103"/>
      <c r="B8" s="178" t="s">
        <v>430</v>
      </c>
      <c r="C8" s="474" t="s">
        <v>96</v>
      </c>
      <c r="D8" s="180"/>
      <c r="E8" s="183" t="s">
        <v>0</v>
      </c>
      <c r="F8" s="171">
        <v>1035</v>
      </c>
    </row>
    <row r="9" spans="1:7" ht="12.75" customHeight="1" x14ac:dyDescent="0.25">
      <c r="A9" s="103"/>
      <c r="B9" s="178" t="s">
        <v>431</v>
      </c>
      <c r="C9" s="475" t="s">
        <v>96</v>
      </c>
      <c r="D9" s="180"/>
      <c r="E9" s="183" t="s">
        <v>0</v>
      </c>
      <c r="F9" s="171">
        <v>1037</v>
      </c>
    </row>
    <row r="10" spans="1:7" ht="12.75" customHeight="1" x14ac:dyDescent="0.25">
      <c r="A10" s="103"/>
      <c r="B10" s="178" t="s">
        <v>8</v>
      </c>
      <c r="C10" s="179">
        <v>4.0000000000000001E-3</v>
      </c>
      <c r="D10" s="180"/>
      <c r="E10" s="183" t="s">
        <v>0</v>
      </c>
      <c r="F10" s="171">
        <v>1039</v>
      </c>
    </row>
    <row r="11" spans="1:7" ht="12.75" customHeight="1" x14ac:dyDescent="0.25">
      <c r="A11" s="103"/>
      <c r="B11" s="178" t="s">
        <v>9</v>
      </c>
      <c r="C11" s="419">
        <v>1573.5</v>
      </c>
      <c r="D11" s="180"/>
      <c r="E11" s="183" t="s">
        <v>0</v>
      </c>
      <c r="F11" s="171">
        <v>1040</v>
      </c>
    </row>
    <row r="12" spans="1:7" ht="12.75" customHeight="1" x14ac:dyDescent="0.25">
      <c r="A12" s="103"/>
      <c r="B12" s="178" t="s">
        <v>432</v>
      </c>
      <c r="C12" s="185" t="s">
        <v>263</v>
      </c>
      <c r="D12" s="180"/>
      <c r="E12" s="183"/>
      <c r="F12" s="171">
        <v>1041</v>
      </c>
    </row>
    <row r="13" spans="1:7" ht="12.75" customHeight="1" x14ac:dyDescent="0.25">
      <c r="A13" s="103"/>
      <c r="B13" s="178" t="s">
        <v>433</v>
      </c>
      <c r="C13" s="179">
        <v>3.3500000000000002E-2</v>
      </c>
      <c r="D13" s="180"/>
      <c r="E13" s="183"/>
      <c r="F13" s="171">
        <v>1042</v>
      </c>
    </row>
    <row r="14" spans="1:7" ht="12.75" customHeight="1" x14ac:dyDescent="0.25">
      <c r="A14" s="103"/>
      <c r="B14" s="178" t="s">
        <v>434</v>
      </c>
      <c r="C14" s="179">
        <v>2.3099999999999999E-2</v>
      </c>
      <c r="D14" s="180"/>
      <c r="E14" s="183" t="s">
        <v>0</v>
      </c>
      <c r="F14" s="171">
        <v>1047</v>
      </c>
    </row>
    <row r="15" spans="1:7" ht="12.75" customHeight="1" x14ac:dyDescent="0.25">
      <c r="A15" s="103"/>
      <c r="B15" s="178" t="s">
        <v>435</v>
      </c>
      <c r="C15" s="179">
        <v>4.0000000000000001E-3</v>
      </c>
      <c r="D15" s="180"/>
      <c r="E15" s="183" t="s">
        <v>0</v>
      </c>
      <c r="F15" s="171">
        <v>1048</v>
      </c>
    </row>
    <row r="16" spans="1:7" ht="12.75" customHeight="1" x14ac:dyDescent="0.25">
      <c r="A16" s="103"/>
      <c r="B16" s="178" t="s">
        <v>436</v>
      </c>
      <c r="C16" s="184" t="s">
        <v>277</v>
      </c>
      <c r="D16" s="176"/>
      <c r="E16" s="183"/>
      <c r="F16" s="171">
        <v>1049</v>
      </c>
    </row>
    <row r="17" spans="1:8" ht="12.75" customHeight="1" x14ac:dyDescent="0.25">
      <c r="A17" s="103"/>
      <c r="B17" s="186" t="s">
        <v>343</v>
      </c>
      <c r="C17" s="184"/>
      <c r="D17" s="176"/>
      <c r="E17" s="181"/>
    </row>
    <row r="18" spans="1:8" ht="12.75" customHeight="1" x14ac:dyDescent="0.25">
      <c r="A18" s="103"/>
      <c r="B18" s="178" t="s">
        <v>437</v>
      </c>
      <c r="C18" s="179">
        <v>1.4500000000000001E-2</v>
      </c>
      <c r="D18" s="180"/>
      <c r="E18" s="187"/>
      <c r="F18" s="171">
        <v>1053</v>
      </c>
    </row>
    <row r="19" spans="1:8" ht="12.75" customHeight="1" x14ac:dyDescent="0.25">
      <c r="A19" s="103"/>
      <c r="B19" s="188" t="s">
        <v>100</v>
      </c>
      <c r="C19" s="189"/>
      <c r="D19" s="190"/>
      <c r="E19" s="111"/>
      <c r="F19" s="171">
        <v>1004</v>
      </c>
      <c r="G19" s="476" t="s">
        <v>438</v>
      </c>
    </row>
    <row r="20" spans="1:8" ht="12.75" customHeight="1" thickBot="1" x14ac:dyDescent="0.3">
      <c r="A20" s="199"/>
      <c r="B20" s="694"/>
      <c r="C20" s="695"/>
      <c r="D20" s="696"/>
      <c r="E20" s="864">
        <f>12729682.76+21555.65</f>
        <v>12751238.41</v>
      </c>
      <c r="G20" s="140">
        <f>'Sched-B1'!C4+'Sched-B1'!D4</f>
        <v>12751238.41</v>
      </c>
      <c r="H20" s="140">
        <f>E20-G20</f>
        <v>0</v>
      </c>
    </row>
    <row r="21" spans="1:8" ht="12.75" customHeight="1" x14ac:dyDescent="0.25">
      <c r="A21" s="693" t="s">
        <v>71</v>
      </c>
      <c r="B21" s="174" t="s">
        <v>12</v>
      </c>
      <c r="C21" s="175" t="s">
        <v>241</v>
      </c>
      <c r="D21" s="176">
        <v>0</v>
      </c>
      <c r="E21" s="181" t="s">
        <v>0</v>
      </c>
    </row>
    <row r="22" spans="1:8" ht="12.75" customHeight="1" x14ac:dyDescent="0.25">
      <c r="A22" s="103"/>
      <c r="B22" s="178" t="s">
        <v>650</v>
      </c>
      <c r="C22" s="179">
        <v>6.13E-2</v>
      </c>
      <c r="D22" s="180"/>
      <c r="E22" s="181" t="s">
        <v>0</v>
      </c>
    </row>
    <row r="23" spans="1:8" ht="12.75" customHeight="1" x14ac:dyDescent="0.25">
      <c r="A23" s="103"/>
      <c r="B23" s="178" t="s">
        <v>427</v>
      </c>
      <c r="C23" s="179">
        <v>0.22</v>
      </c>
      <c r="D23" s="180"/>
      <c r="E23" s="183" t="s">
        <v>0</v>
      </c>
    </row>
    <row r="24" spans="1:8" ht="12.75" customHeight="1" x14ac:dyDescent="0.25">
      <c r="A24" s="103"/>
      <c r="B24" s="178" t="s">
        <v>428</v>
      </c>
      <c r="C24" s="474" t="s">
        <v>96</v>
      </c>
      <c r="D24" s="180"/>
      <c r="E24" s="183" t="s">
        <v>0</v>
      </c>
    </row>
    <row r="25" spans="1:8" ht="12.75" customHeight="1" x14ac:dyDescent="0.25">
      <c r="A25" s="103"/>
      <c r="B25" s="178" t="s">
        <v>429</v>
      </c>
      <c r="C25" s="474" t="s">
        <v>96</v>
      </c>
      <c r="D25" s="180"/>
      <c r="E25" s="183" t="s">
        <v>0</v>
      </c>
    </row>
    <row r="26" spans="1:8" ht="12.75" customHeight="1" x14ac:dyDescent="0.25">
      <c r="A26" s="103"/>
      <c r="B26" s="178" t="s">
        <v>430</v>
      </c>
      <c r="C26" s="474" t="s">
        <v>96</v>
      </c>
      <c r="D26" s="180"/>
      <c r="E26" s="183" t="s">
        <v>0</v>
      </c>
    </row>
    <row r="27" spans="1:8" ht="12.75" customHeight="1" x14ac:dyDescent="0.25">
      <c r="A27" s="103"/>
      <c r="B27" s="178" t="s">
        <v>431</v>
      </c>
      <c r="C27" s="474" t="s">
        <v>96</v>
      </c>
      <c r="D27" s="180"/>
      <c r="E27" s="183" t="s">
        <v>0</v>
      </c>
    </row>
    <row r="28" spans="1:8" ht="12.75" customHeight="1" x14ac:dyDescent="0.25">
      <c r="A28" s="103"/>
      <c r="B28" s="178" t="s">
        <v>8</v>
      </c>
      <c r="C28" s="179">
        <f>C10</f>
        <v>4.0000000000000001E-3</v>
      </c>
      <c r="D28" s="180"/>
      <c r="E28" s="183" t="s">
        <v>0</v>
      </c>
    </row>
    <row r="29" spans="1:8" ht="12.75" customHeight="1" x14ac:dyDescent="0.25">
      <c r="A29" s="103"/>
      <c r="B29" s="178" t="s">
        <v>9</v>
      </c>
      <c r="C29" s="419">
        <f>C11</f>
        <v>1573.5</v>
      </c>
      <c r="D29" s="180"/>
      <c r="E29" s="183" t="s">
        <v>0</v>
      </c>
    </row>
    <row r="30" spans="1:8" ht="12.75" customHeight="1" x14ac:dyDescent="0.25">
      <c r="A30" s="103"/>
      <c r="B30" s="178" t="s">
        <v>7</v>
      </c>
      <c r="C30" s="185" t="s">
        <v>263</v>
      </c>
      <c r="D30" s="180"/>
      <c r="E30" s="183"/>
    </row>
    <row r="31" spans="1:8" ht="12.75" customHeight="1" x14ac:dyDescent="0.25">
      <c r="A31" s="103"/>
      <c r="B31" s="178" t="s">
        <v>10</v>
      </c>
      <c r="C31" s="179">
        <f>C13</f>
        <v>3.3500000000000002E-2</v>
      </c>
      <c r="D31" s="180"/>
      <c r="E31" s="183"/>
    </row>
    <row r="32" spans="1:8" ht="12.75" customHeight="1" x14ac:dyDescent="0.25">
      <c r="A32" s="103"/>
      <c r="B32" s="178" t="s">
        <v>14</v>
      </c>
      <c r="C32" s="179">
        <f>C14</f>
        <v>2.3099999999999999E-2</v>
      </c>
      <c r="D32" s="180"/>
      <c r="E32" s="183" t="s">
        <v>0</v>
      </c>
    </row>
    <row r="33" spans="1:8" ht="12.75" customHeight="1" x14ac:dyDescent="0.25">
      <c r="A33" s="103"/>
      <c r="B33" s="178" t="s">
        <v>11</v>
      </c>
      <c r="C33" s="179">
        <f>C15</f>
        <v>4.0000000000000001E-3</v>
      </c>
      <c r="D33" s="180"/>
      <c r="E33" s="183" t="s">
        <v>0</v>
      </c>
    </row>
    <row r="34" spans="1:8" ht="12.75" customHeight="1" x14ac:dyDescent="0.25">
      <c r="A34" s="103"/>
      <c r="B34" s="186" t="s">
        <v>204</v>
      </c>
      <c r="C34" s="184" t="str">
        <f>C16</f>
        <v>$8.00/mo</v>
      </c>
      <c r="D34" s="180"/>
      <c r="E34" s="183"/>
    </row>
    <row r="35" spans="1:8" ht="12.75" customHeight="1" x14ac:dyDescent="0.25">
      <c r="A35" s="103"/>
      <c r="B35" s="178" t="s">
        <v>437</v>
      </c>
      <c r="C35" s="179">
        <f>C18</f>
        <v>1.4500000000000001E-2</v>
      </c>
      <c r="D35" s="180"/>
      <c r="E35" s="187"/>
    </row>
    <row r="36" spans="1:8" ht="12.75" customHeight="1" x14ac:dyDescent="0.25">
      <c r="A36" s="103"/>
      <c r="B36" s="188" t="s">
        <v>100</v>
      </c>
      <c r="C36" s="189"/>
      <c r="D36" s="190"/>
      <c r="E36" s="111"/>
      <c r="G36" s="140"/>
    </row>
    <row r="37" spans="1:8" ht="12.75" customHeight="1" thickBot="1" x14ac:dyDescent="0.3">
      <c r="A37" s="199"/>
      <c r="B37" s="694"/>
      <c r="C37" s="695"/>
      <c r="D37" s="696"/>
      <c r="E37" s="864">
        <f>2723998.8+2909.13</f>
        <v>2726907.9299999997</v>
      </c>
      <c r="G37" s="140">
        <f>'Sched-B1'!C5+'Sched-B1'!D5</f>
        <v>2726907.9299999997</v>
      </c>
      <c r="H37" s="140">
        <f>E37-G37</f>
        <v>0</v>
      </c>
    </row>
    <row r="38" spans="1:8" ht="12.75" customHeight="1" x14ac:dyDescent="0.25">
      <c r="A38" s="693" t="s">
        <v>13</v>
      </c>
      <c r="B38" s="174" t="s">
        <v>12</v>
      </c>
      <c r="C38" s="175" t="s">
        <v>241</v>
      </c>
      <c r="D38" s="176"/>
      <c r="E38" s="181" t="s">
        <v>0</v>
      </c>
    </row>
    <row r="39" spans="1:8" ht="12.75" customHeight="1" x14ac:dyDescent="0.25">
      <c r="A39" s="103"/>
      <c r="B39" s="178" t="s">
        <v>650</v>
      </c>
      <c r="C39" s="179">
        <v>6.13E-2</v>
      </c>
      <c r="D39" s="180"/>
      <c r="E39" s="181" t="s">
        <v>0</v>
      </c>
    </row>
    <row r="40" spans="1:8" ht="12.75" customHeight="1" x14ac:dyDescent="0.25">
      <c r="A40" s="103"/>
      <c r="B40" s="178" t="s">
        <v>427</v>
      </c>
      <c r="C40" s="179">
        <f>C5</f>
        <v>0.2676</v>
      </c>
      <c r="D40" s="180"/>
      <c r="E40" s="183" t="s">
        <v>0</v>
      </c>
    </row>
    <row r="41" spans="1:8" ht="12.75" customHeight="1" x14ac:dyDescent="0.25">
      <c r="A41" s="103"/>
      <c r="B41" s="178" t="s">
        <v>428</v>
      </c>
      <c r="C41" s="474" t="s">
        <v>96</v>
      </c>
      <c r="D41" s="180"/>
      <c r="E41" s="183" t="s">
        <v>0</v>
      </c>
    </row>
    <row r="42" spans="1:8" ht="12.75" customHeight="1" x14ac:dyDescent="0.25">
      <c r="A42" s="103"/>
      <c r="B42" s="178" t="s">
        <v>429</v>
      </c>
      <c r="C42" s="474" t="s">
        <v>96</v>
      </c>
      <c r="D42" s="180"/>
      <c r="E42" s="183" t="s">
        <v>0</v>
      </c>
    </row>
    <row r="43" spans="1:8" ht="12.75" customHeight="1" x14ac:dyDescent="0.25">
      <c r="A43" s="103"/>
      <c r="B43" s="178" t="s">
        <v>430</v>
      </c>
      <c r="C43" s="474" t="s">
        <v>96</v>
      </c>
      <c r="D43" s="180"/>
      <c r="E43" s="183" t="s">
        <v>0</v>
      </c>
    </row>
    <row r="44" spans="1:8" ht="12.75" customHeight="1" x14ac:dyDescent="0.25">
      <c r="A44" s="103"/>
      <c r="B44" s="178" t="s">
        <v>431</v>
      </c>
      <c r="C44" s="474" t="s">
        <v>96</v>
      </c>
      <c r="D44" s="180"/>
      <c r="E44" s="183" t="s">
        <v>0</v>
      </c>
    </row>
    <row r="45" spans="1:8" ht="12.75" customHeight="1" x14ac:dyDescent="0.25">
      <c r="A45" s="103"/>
      <c r="B45" s="178" t="s">
        <v>8</v>
      </c>
      <c r="C45" s="179">
        <f>C10</f>
        <v>4.0000000000000001E-3</v>
      </c>
      <c r="D45" s="180"/>
      <c r="E45" s="183" t="s">
        <v>0</v>
      </c>
    </row>
    <row r="46" spans="1:8" ht="12.75" customHeight="1" x14ac:dyDescent="0.25">
      <c r="A46" s="103"/>
      <c r="B46" s="178" t="s">
        <v>9</v>
      </c>
      <c r="C46" s="419">
        <f>C11</f>
        <v>1573.5</v>
      </c>
      <c r="D46" s="180"/>
      <c r="E46" s="183" t="s">
        <v>0</v>
      </c>
    </row>
    <row r="47" spans="1:8" ht="12.75" customHeight="1" x14ac:dyDescent="0.25">
      <c r="A47" s="103"/>
      <c r="B47" s="178" t="s">
        <v>7</v>
      </c>
      <c r="C47" s="185" t="s">
        <v>263</v>
      </c>
      <c r="D47" s="180"/>
      <c r="E47" s="183"/>
    </row>
    <row r="48" spans="1:8" ht="12.75" customHeight="1" x14ac:dyDescent="0.25">
      <c r="A48" s="103"/>
      <c r="B48" s="178" t="s">
        <v>10</v>
      </c>
      <c r="C48" s="179">
        <f>C13</f>
        <v>3.3500000000000002E-2</v>
      </c>
      <c r="D48" s="180"/>
      <c r="E48" s="183" t="s">
        <v>0</v>
      </c>
    </row>
    <row r="49" spans="1:8" ht="12.75" customHeight="1" x14ac:dyDescent="0.25">
      <c r="A49" s="103"/>
      <c r="B49" s="178" t="s">
        <v>14</v>
      </c>
      <c r="C49" s="179">
        <f>C14</f>
        <v>2.3099999999999999E-2</v>
      </c>
      <c r="D49" s="180"/>
      <c r="E49" s="183"/>
    </row>
    <row r="50" spans="1:8" ht="12.75" customHeight="1" x14ac:dyDescent="0.25">
      <c r="A50" s="103"/>
      <c r="B50" s="178" t="s">
        <v>11</v>
      </c>
      <c r="C50" s="179">
        <f>C15</f>
        <v>4.0000000000000001E-3</v>
      </c>
      <c r="D50" s="180"/>
      <c r="E50" s="183"/>
    </row>
    <row r="51" spans="1:8" ht="12.75" customHeight="1" x14ac:dyDescent="0.25">
      <c r="A51" s="103"/>
      <c r="B51" s="186" t="s">
        <v>204</v>
      </c>
      <c r="C51" s="184" t="s">
        <v>277</v>
      </c>
      <c r="D51" s="180"/>
      <c r="E51" s="183"/>
    </row>
    <row r="52" spans="1:8" ht="12.75" customHeight="1" x14ac:dyDescent="0.25">
      <c r="A52" s="103"/>
      <c r="B52" s="178" t="s">
        <v>437</v>
      </c>
      <c r="C52" s="179">
        <f>C18</f>
        <v>1.4500000000000001E-2</v>
      </c>
      <c r="D52" s="191"/>
      <c r="E52" s="192"/>
    </row>
    <row r="53" spans="1:8" ht="12.75" customHeight="1" x14ac:dyDescent="0.25">
      <c r="A53" s="103"/>
      <c r="B53" s="188" t="s">
        <v>100</v>
      </c>
      <c r="C53" s="193"/>
      <c r="D53" s="191"/>
      <c r="E53" s="103"/>
      <c r="G53" s="140"/>
    </row>
    <row r="54" spans="1:8" ht="12.75" customHeight="1" thickBot="1" x14ac:dyDescent="0.3">
      <c r="A54" s="199"/>
      <c r="B54" s="694"/>
      <c r="C54" s="698"/>
      <c r="D54" s="699"/>
      <c r="E54" s="864">
        <f>6501905.1+4948.47</f>
        <v>6506853.5699999994</v>
      </c>
      <c r="G54" s="140">
        <f>'Sched-B1'!C6+'Sched-B1'!D6</f>
        <v>6506853.5699999994</v>
      </c>
      <c r="H54" s="194">
        <f>E54-G54</f>
        <v>0</v>
      </c>
    </row>
    <row r="55" spans="1:8" ht="12.75" customHeight="1" x14ac:dyDescent="0.25">
      <c r="A55" s="693" t="s">
        <v>24</v>
      </c>
      <c r="B55" s="174" t="s">
        <v>12</v>
      </c>
      <c r="C55" s="175" t="s">
        <v>241</v>
      </c>
      <c r="D55" s="697"/>
      <c r="E55" s="181" t="s">
        <v>0</v>
      </c>
    </row>
    <row r="56" spans="1:8" ht="12.75" customHeight="1" x14ac:dyDescent="0.25">
      <c r="A56" s="103"/>
      <c r="B56" s="178" t="s">
        <v>650</v>
      </c>
      <c r="C56" s="179">
        <v>6.13E-2</v>
      </c>
      <c r="D56" s="191"/>
      <c r="E56" s="183"/>
    </row>
    <row r="57" spans="1:8" ht="12.75" customHeight="1" x14ac:dyDescent="0.25">
      <c r="A57" s="103"/>
      <c r="B57" s="178" t="s">
        <v>427</v>
      </c>
      <c r="C57" s="179">
        <v>0.22</v>
      </c>
      <c r="D57" s="191"/>
      <c r="E57" s="183"/>
    </row>
    <row r="58" spans="1:8" ht="12.75" customHeight="1" x14ac:dyDescent="0.25">
      <c r="A58" s="173"/>
      <c r="B58" s="178" t="s">
        <v>428</v>
      </c>
      <c r="C58" s="474" t="s">
        <v>96</v>
      </c>
      <c r="D58" s="180"/>
      <c r="E58" s="183" t="s">
        <v>0</v>
      </c>
    </row>
    <row r="59" spans="1:8" ht="12.75" customHeight="1" x14ac:dyDescent="0.25">
      <c r="A59" s="103"/>
      <c r="B59" s="178" t="s">
        <v>429</v>
      </c>
      <c r="C59" s="474" t="s">
        <v>96</v>
      </c>
      <c r="D59" s="180"/>
      <c r="E59" s="183" t="s">
        <v>0</v>
      </c>
    </row>
    <row r="60" spans="1:8" ht="12.75" customHeight="1" x14ac:dyDescent="0.25">
      <c r="A60" s="103"/>
      <c r="B60" s="178" t="s">
        <v>430</v>
      </c>
      <c r="C60" s="474" t="s">
        <v>96</v>
      </c>
      <c r="D60" s="180"/>
      <c r="E60" s="183" t="s">
        <v>0</v>
      </c>
    </row>
    <row r="61" spans="1:8" ht="12.75" customHeight="1" x14ac:dyDescent="0.25">
      <c r="A61" s="103"/>
      <c r="B61" s="178" t="s">
        <v>431</v>
      </c>
      <c r="C61" s="474" t="s">
        <v>96</v>
      </c>
      <c r="D61" s="180"/>
      <c r="E61" s="183" t="s">
        <v>0</v>
      </c>
    </row>
    <row r="62" spans="1:8" ht="12.75" customHeight="1" x14ac:dyDescent="0.25">
      <c r="A62" s="103"/>
      <c r="B62" s="195" t="s">
        <v>8</v>
      </c>
      <c r="C62" s="179">
        <v>3.5999999999999999E-3</v>
      </c>
      <c r="D62" s="191"/>
      <c r="E62" s="183"/>
    </row>
    <row r="63" spans="1:8" ht="12.75" customHeight="1" x14ac:dyDescent="0.25">
      <c r="A63" s="103"/>
      <c r="B63" s="195" t="s">
        <v>9</v>
      </c>
      <c r="C63" s="419">
        <f>C11</f>
        <v>1573.5</v>
      </c>
      <c r="D63" s="191"/>
      <c r="E63" s="183"/>
    </row>
    <row r="64" spans="1:8" ht="12.75" customHeight="1" x14ac:dyDescent="0.25">
      <c r="A64" s="103"/>
      <c r="B64" s="195" t="s">
        <v>7</v>
      </c>
      <c r="C64" s="185" t="s">
        <v>263</v>
      </c>
      <c r="D64" s="191"/>
      <c r="E64" s="183"/>
    </row>
    <row r="65" spans="1:8" ht="12.75" customHeight="1" x14ac:dyDescent="0.25">
      <c r="A65" s="103"/>
      <c r="B65" s="195" t="s">
        <v>10</v>
      </c>
      <c r="C65" s="179">
        <f>C13</f>
        <v>3.3500000000000002E-2</v>
      </c>
      <c r="D65" s="191"/>
      <c r="E65" s="183"/>
    </row>
    <row r="66" spans="1:8" ht="12.75" customHeight="1" x14ac:dyDescent="0.25">
      <c r="A66" s="103"/>
      <c r="B66" s="195" t="s">
        <v>14</v>
      </c>
      <c r="C66" s="179">
        <f>C14</f>
        <v>2.3099999999999999E-2</v>
      </c>
      <c r="D66" s="191"/>
      <c r="E66" s="183"/>
    </row>
    <row r="67" spans="1:8" ht="12.75" customHeight="1" x14ac:dyDescent="0.25">
      <c r="A67" s="103"/>
      <c r="B67" s="195" t="s">
        <v>11</v>
      </c>
      <c r="C67" s="179">
        <f>C15</f>
        <v>4.0000000000000001E-3</v>
      </c>
      <c r="D67" s="191"/>
      <c r="E67" s="183"/>
    </row>
    <row r="68" spans="1:8" ht="12.75" customHeight="1" x14ac:dyDescent="0.25">
      <c r="A68" s="103"/>
      <c r="B68" s="103" t="s">
        <v>204</v>
      </c>
      <c r="C68" s="184" t="s">
        <v>277</v>
      </c>
      <c r="D68" s="191"/>
      <c r="E68" s="183"/>
    </row>
    <row r="69" spans="1:8" ht="12.75" customHeight="1" x14ac:dyDescent="0.25">
      <c r="A69" s="103"/>
      <c r="B69" s="178" t="s">
        <v>437</v>
      </c>
      <c r="C69" s="179">
        <v>1.4500000000000001E-2</v>
      </c>
      <c r="D69" s="191"/>
      <c r="E69" s="183"/>
    </row>
    <row r="70" spans="1:8" ht="12.75" customHeight="1" x14ac:dyDescent="0.25">
      <c r="A70" s="103"/>
      <c r="B70" s="195" t="s">
        <v>100</v>
      </c>
      <c r="C70" s="189"/>
      <c r="D70" s="191"/>
      <c r="E70" s="183"/>
      <c r="G70" s="140"/>
    </row>
    <row r="71" spans="1:8" ht="12.75" customHeight="1" thickBot="1" x14ac:dyDescent="0.3">
      <c r="A71" s="199"/>
      <c r="B71" s="200"/>
      <c r="C71" s="201"/>
      <c r="D71" s="202"/>
      <c r="E71" s="864">
        <f>4760037.88+5155.39</f>
        <v>4765193.2699999996</v>
      </c>
      <c r="G71" s="140">
        <f>'Sched-B1'!C7+'Sched-B1'!D7</f>
        <v>4765193.2699999996</v>
      </c>
      <c r="H71" s="140">
        <f>E71-G71</f>
        <v>0</v>
      </c>
    </row>
    <row r="72" spans="1:8" ht="12.75" customHeight="1" x14ac:dyDescent="0.25">
      <c r="A72" s="693" t="s">
        <v>342</v>
      </c>
      <c r="B72" s="174" t="s">
        <v>12</v>
      </c>
      <c r="C72" s="175" t="s">
        <v>241</v>
      </c>
      <c r="D72" s="697">
        <v>0</v>
      </c>
      <c r="E72" s="181" t="s">
        <v>0</v>
      </c>
    </row>
    <row r="73" spans="1:8" ht="12.75" customHeight="1" x14ac:dyDescent="0.25">
      <c r="A73" s="103"/>
      <c r="B73" s="178" t="s">
        <v>650</v>
      </c>
      <c r="C73" s="179">
        <v>6.13E-2</v>
      </c>
      <c r="D73" s="191"/>
      <c r="E73" s="183"/>
    </row>
    <row r="74" spans="1:8" ht="12.75" customHeight="1" x14ac:dyDescent="0.25">
      <c r="A74" s="103"/>
      <c r="B74" s="178" t="s">
        <v>427</v>
      </c>
      <c r="C74" s="179">
        <v>0.22</v>
      </c>
      <c r="D74" s="191"/>
      <c r="E74" s="183"/>
    </row>
    <row r="75" spans="1:8" ht="12.75" customHeight="1" x14ac:dyDescent="0.25">
      <c r="A75" s="103"/>
      <c r="B75" s="178" t="s">
        <v>428</v>
      </c>
      <c r="C75" s="474" t="s">
        <v>96</v>
      </c>
      <c r="D75" s="180"/>
      <c r="E75" s="183" t="s">
        <v>0</v>
      </c>
    </row>
    <row r="76" spans="1:8" ht="12.75" customHeight="1" x14ac:dyDescent="0.25">
      <c r="A76" s="103"/>
      <c r="B76" s="178" t="s">
        <v>429</v>
      </c>
      <c r="C76" s="474" t="s">
        <v>96</v>
      </c>
      <c r="D76" s="180"/>
      <c r="E76" s="183" t="s">
        <v>0</v>
      </c>
    </row>
    <row r="77" spans="1:8" ht="12.75" customHeight="1" x14ac:dyDescent="0.25">
      <c r="A77" s="103"/>
      <c r="B77" s="178" t="s">
        <v>430</v>
      </c>
      <c r="C77" s="474" t="s">
        <v>96</v>
      </c>
      <c r="D77" s="180"/>
      <c r="E77" s="183" t="s">
        <v>0</v>
      </c>
    </row>
    <row r="78" spans="1:8" ht="12.75" customHeight="1" x14ac:dyDescent="0.25">
      <c r="A78" s="103"/>
      <c r="B78" s="178" t="s">
        <v>431</v>
      </c>
      <c r="C78" s="474" t="s">
        <v>96</v>
      </c>
      <c r="D78" s="180"/>
      <c r="E78" s="183" t="s">
        <v>0</v>
      </c>
    </row>
    <row r="79" spans="1:8" ht="12.75" customHeight="1" x14ac:dyDescent="0.25">
      <c r="A79" s="103"/>
      <c r="B79" s="195" t="s">
        <v>8</v>
      </c>
      <c r="C79" s="179">
        <v>3.5999999999999999E-3</v>
      </c>
      <c r="D79" s="191"/>
      <c r="E79" s="183"/>
    </row>
    <row r="80" spans="1:8" ht="12.75" customHeight="1" x14ac:dyDescent="0.25">
      <c r="A80" s="103"/>
      <c r="B80" s="195" t="s">
        <v>9</v>
      </c>
      <c r="C80" s="419">
        <f>C11</f>
        <v>1573.5</v>
      </c>
      <c r="D80" s="191"/>
      <c r="E80" s="183"/>
    </row>
    <row r="81" spans="1:8" ht="12.75" customHeight="1" x14ac:dyDescent="0.25">
      <c r="A81" s="103"/>
      <c r="B81" s="195" t="s">
        <v>7</v>
      </c>
      <c r="C81" s="185" t="s">
        <v>263</v>
      </c>
      <c r="D81" s="191"/>
      <c r="E81" s="183"/>
    </row>
    <row r="82" spans="1:8" ht="12.75" customHeight="1" x14ac:dyDescent="0.25">
      <c r="A82" s="103"/>
      <c r="B82" s="195" t="s">
        <v>10</v>
      </c>
      <c r="C82" s="179">
        <f>C13</f>
        <v>3.3500000000000002E-2</v>
      </c>
      <c r="D82" s="191"/>
      <c r="E82" s="183"/>
    </row>
    <row r="83" spans="1:8" ht="12.75" customHeight="1" x14ac:dyDescent="0.25">
      <c r="A83" s="103"/>
      <c r="B83" s="195" t="s">
        <v>14</v>
      </c>
      <c r="C83" s="179">
        <f>C14</f>
        <v>2.3099999999999999E-2</v>
      </c>
      <c r="D83" s="191"/>
      <c r="E83" s="183"/>
    </row>
    <row r="84" spans="1:8" ht="12.75" customHeight="1" x14ac:dyDescent="0.25">
      <c r="A84" s="103"/>
      <c r="B84" s="195" t="s">
        <v>11</v>
      </c>
      <c r="C84" s="179">
        <f>C15</f>
        <v>4.0000000000000001E-3</v>
      </c>
      <c r="D84" s="191"/>
      <c r="E84" s="183"/>
    </row>
    <row r="85" spans="1:8" ht="12.75" customHeight="1" x14ac:dyDescent="0.25">
      <c r="A85" s="103"/>
      <c r="B85" s="103" t="s">
        <v>204</v>
      </c>
      <c r="C85" s="184" t="s">
        <v>277</v>
      </c>
      <c r="D85" s="191"/>
      <c r="E85" s="183"/>
    </row>
    <row r="86" spans="1:8" ht="12.75" customHeight="1" x14ac:dyDescent="0.25">
      <c r="A86" s="103"/>
      <c r="B86" s="178" t="s">
        <v>437</v>
      </c>
      <c r="C86" s="179">
        <v>1.4500000000000001E-2</v>
      </c>
      <c r="D86" s="191"/>
      <c r="E86" s="183"/>
    </row>
    <row r="87" spans="1:8" ht="12.75" customHeight="1" x14ac:dyDescent="0.25">
      <c r="A87" s="103"/>
      <c r="B87" s="195" t="s">
        <v>100</v>
      </c>
      <c r="C87" s="189"/>
      <c r="D87" s="191"/>
      <c r="E87" s="183"/>
      <c r="G87" s="140"/>
    </row>
    <row r="88" spans="1:8" ht="12.75" customHeight="1" thickBot="1" x14ac:dyDescent="0.3">
      <c r="A88" s="199"/>
      <c r="B88" s="200"/>
      <c r="C88" s="201"/>
      <c r="D88" s="202"/>
      <c r="E88" s="864">
        <f>14923607.4+13511.68</f>
        <v>14937119.08</v>
      </c>
      <c r="G88" s="140">
        <f>'Sched-B1'!C8+'Sched-B1'!D8</f>
        <v>14937119.08</v>
      </c>
      <c r="H88" s="140">
        <f>E88-G88</f>
        <v>0</v>
      </c>
    </row>
    <row r="89" spans="1:8" ht="12.75" customHeight="1" x14ac:dyDescent="0.25">
      <c r="A89" s="693" t="s">
        <v>15</v>
      </c>
      <c r="B89" s="174" t="s">
        <v>12</v>
      </c>
      <c r="C89" s="175" t="s">
        <v>241</v>
      </c>
      <c r="D89" s="697">
        <v>0</v>
      </c>
      <c r="E89" s="181" t="s">
        <v>0</v>
      </c>
    </row>
    <row r="90" spans="1:8" ht="12.75" customHeight="1" x14ac:dyDescent="0.25">
      <c r="A90" s="103"/>
      <c r="B90" s="178" t="s">
        <v>650</v>
      </c>
      <c r="C90" s="179">
        <v>6.13E-2</v>
      </c>
      <c r="D90" s="191"/>
      <c r="E90" s="183"/>
    </row>
    <row r="91" spans="1:8" ht="12.75" customHeight="1" x14ac:dyDescent="0.25">
      <c r="A91" s="103"/>
      <c r="B91" s="178" t="s">
        <v>427</v>
      </c>
      <c r="C91" s="179">
        <v>0.22</v>
      </c>
      <c r="D91" s="191"/>
      <c r="E91" s="183"/>
    </row>
    <row r="92" spans="1:8" ht="12.75" customHeight="1" x14ac:dyDescent="0.25">
      <c r="A92" s="103"/>
      <c r="B92" s="178" t="s">
        <v>428</v>
      </c>
      <c r="C92" s="474" t="s">
        <v>96</v>
      </c>
      <c r="D92" s="180"/>
      <c r="E92" s="183" t="s">
        <v>0</v>
      </c>
    </row>
    <row r="93" spans="1:8" ht="12.75" customHeight="1" x14ac:dyDescent="0.25">
      <c r="A93" s="103"/>
      <c r="B93" s="178" t="s">
        <v>429</v>
      </c>
      <c r="C93" s="474" t="s">
        <v>96</v>
      </c>
      <c r="D93" s="180"/>
      <c r="E93" s="183" t="s">
        <v>0</v>
      </c>
    </row>
    <row r="94" spans="1:8" ht="12.75" customHeight="1" x14ac:dyDescent="0.25">
      <c r="A94" s="103"/>
      <c r="B94" s="178" t="s">
        <v>430</v>
      </c>
      <c r="C94" s="474" t="s">
        <v>96</v>
      </c>
      <c r="D94" s="180"/>
      <c r="E94" s="183" t="s">
        <v>0</v>
      </c>
    </row>
    <row r="95" spans="1:8" ht="12.75" customHeight="1" x14ac:dyDescent="0.25">
      <c r="A95" s="103"/>
      <c r="B95" s="178" t="s">
        <v>431</v>
      </c>
      <c r="C95" s="474" t="s">
        <v>96</v>
      </c>
      <c r="D95" s="180"/>
      <c r="E95" s="183" t="s">
        <v>0</v>
      </c>
    </row>
    <row r="96" spans="1:8" ht="12.75" customHeight="1" x14ac:dyDescent="0.25">
      <c r="A96" s="103"/>
      <c r="B96" s="195" t="s">
        <v>8</v>
      </c>
      <c r="C96" s="179">
        <v>3.5999999999999999E-3</v>
      </c>
      <c r="D96" s="191"/>
      <c r="E96" s="183"/>
    </row>
    <row r="97" spans="1:8" ht="12.75" customHeight="1" x14ac:dyDescent="0.25">
      <c r="A97" s="103"/>
      <c r="B97" s="195" t="s">
        <v>9</v>
      </c>
      <c r="C97" s="419">
        <f>C11</f>
        <v>1573.5</v>
      </c>
      <c r="D97" s="191"/>
      <c r="E97" s="183"/>
    </row>
    <row r="98" spans="1:8" ht="12.75" customHeight="1" x14ac:dyDescent="0.25">
      <c r="A98" s="103"/>
      <c r="B98" s="195" t="s">
        <v>7</v>
      </c>
      <c r="C98" s="185" t="s">
        <v>263</v>
      </c>
      <c r="D98" s="191"/>
      <c r="E98" s="183"/>
    </row>
    <row r="99" spans="1:8" ht="12.75" customHeight="1" x14ac:dyDescent="0.25">
      <c r="A99" s="103"/>
      <c r="B99" s="195" t="s">
        <v>10</v>
      </c>
      <c r="C99" s="179">
        <f>C13</f>
        <v>3.3500000000000002E-2</v>
      </c>
      <c r="D99" s="191"/>
      <c r="E99" s="183"/>
    </row>
    <row r="100" spans="1:8" ht="12.75" customHeight="1" x14ac:dyDescent="0.25">
      <c r="A100" s="103"/>
      <c r="B100" s="195" t="s">
        <v>14</v>
      </c>
      <c r="C100" s="179">
        <f>C14</f>
        <v>2.3099999999999999E-2</v>
      </c>
      <c r="D100" s="191"/>
      <c r="E100" s="183"/>
    </row>
    <row r="101" spans="1:8" ht="12.75" customHeight="1" x14ac:dyDescent="0.25">
      <c r="A101" s="103"/>
      <c r="B101" s="195" t="s">
        <v>11</v>
      </c>
      <c r="C101" s="179">
        <f>C15</f>
        <v>4.0000000000000001E-3</v>
      </c>
      <c r="D101" s="191"/>
      <c r="E101" s="183"/>
    </row>
    <row r="102" spans="1:8" ht="12.75" customHeight="1" x14ac:dyDescent="0.25">
      <c r="A102" s="103"/>
      <c r="B102" s="103" t="s">
        <v>204</v>
      </c>
      <c r="C102" s="184" t="s">
        <v>277</v>
      </c>
      <c r="D102" s="191"/>
      <c r="E102" s="183"/>
    </row>
    <row r="103" spans="1:8" ht="12.75" customHeight="1" x14ac:dyDescent="0.25">
      <c r="A103" s="103"/>
      <c r="B103" s="178" t="s">
        <v>437</v>
      </c>
      <c r="C103" s="179">
        <f>C18</f>
        <v>1.4500000000000001E-2</v>
      </c>
      <c r="D103" s="191"/>
      <c r="E103" s="183"/>
    </row>
    <row r="104" spans="1:8" ht="12.75" customHeight="1" x14ac:dyDescent="0.25">
      <c r="A104" s="103"/>
      <c r="B104" s="195" t="s">
        <v>100</v>
      </c>
      <c r="C104" s="189"/>
      <c r="D104" s="191"/>
      <c r="E104" s="224"/>
      <c r="G104" s="140"/>
    </row>
    <row r="105" spans="1:8" ht="12.75" customHeight="1" thickBot="1" x14ac:dyDescent="0.3">
      <c r="A105" s="199"/>
      <c r="B105" s="200"/>
      <c r="C105" s="201"/>
      <c r="D105" s="202"/>
      <c r="E105" s="864">
        <f>1896984.97+2872.26</f>
        <v>1899857.23</v>
      </c>
      <c r="G105" s="140">
        <f>'Sched-B1'!C9+'Sched-B1'!D9</f>
        <v>1899857.23</v>
      </c>
      <c r="H105" s="140">
        <f>E105-G105</f>
        <v>0</v>
      </c>
    </row>
    <row r="106" spans="1:8" ht="12.75" customHeight="1" x14ac:dyDescent="0.25">
      <c r="A106" s="693" t="s">
        <v>16</v>
      </c>
      <c r="B106" s="174" t="s">
        <v>12</v>
      </c>
      <c r="C106" s="175" t="s">
        <v>241</v>
      </c>
      <c r="D106" s="697">
        <v>0</v>
      </c>
      <c r="E106" s="181" t="s">
        <v>0</v>
      </c>
    </row>
    <row r="107" spans="1:8" ht="12.75" customHeight="1" x14ac:dyDescent="0.25">
      <c r="A107" s="103"/>
      <c r="B107" s="178" t="s">
        <v>650</v>
      </c>
      <c r="C107" s="179">
        <v>6.13E-2</v>
      </c>
      <c r="D107" s="191"/>
      <c r="E107" s="183"/>
    </row>
    <row r="108" spans="1:8" ht="12.75" customHeight="1" x14ac:dyDescent="0.25">
      <c r="A108" s="103"/>
      <c r="B108" s="178" t="s">
        <v>427</v>
      </c>
      <c r="C108" s="179">
        <v>0.22</v>
      </c>
      <c r="D108" s="191"/>
      <c r="E108" s="183"/>
    </row>
    <row r="109" spans="1:8" ht="12.75" customHeight="1" x14ac:dyDescent="0.25">
      <c r="A109" s="103"/>
      <c r="B109" s="178" t="s">
        <v>428</v>
      </c>
      <c r="C109" s="474" t="s">
        <v>96</v>
      </c>
      <c r="D109" s="180"/>
      <c r="E109" s="183" t="s">
        <v>0</v>
      </c>
    </row>
    <row r="110" spans="1:8" ht="12.75" customHeight="1" x14ac:dyDescent="0.25">
      <c r="A110" s="103"/>
      <c r="B110" s="178" t="s">
        <v>429</v>
      </c>
      <c r="C110" s="474" t="s">
        <v>96</v>
      </c>
      <c r="D110" s="180"/>
      <c r="E110" s="183" t="s">
        <v>0</v>
      </c>
    </row>
    <row r="111" spans="1:8" ht="12.75" customHeight="1" x14ac:dyDescent="0.25">
      <c r="A111" s="103"/>
      <c r="B111" s="178" t="s">
        <v>430</v>
      </c>
      <c r="C111" s="474" t="s">
        <v>96</v>
      </c>
      <c r="D111" s="180"/>
      <c r="E111" s="183" t="s">
        <v>0</v>
      </c>
    </row>
    <row r="112" spans="1:8" ht="12.75" customHeight="1" x14ac:dyDescent="0.25">
      <c r="A112" s="103"/>
      <c r="B112" s="178" t="s">
        <v>431</v>
      </c>
      <c r="C112" s="474" t="s">
        <v>96</v>
      </c>
      <c r="D112" s="180"/>
      <c r="E112" s="183" t="s">
        <v>0</v>
      </c>
    </row>
    <row r="113" spans="1:8" ht="12.75" customHeight="1" x14ac:dyDescent="0.25">
      <c r="A113" s="103"/>
      <c r="B113" s="195" t="s">
        <v>8</v>
      </c>
      <c r="C113" s="179">
        <v>3.5999999999999999E-3</v>
      </c>
      <c r="D113" s="191"/>
      <c r="E113" s="183"/>
    </row>
    <row r="114" spans="1:8" ht="12.75" customHeight="1" x14ac:dyDescent="0.25">
      <c r="A114" s="103"/>
      <c r="B114" s="195" t="s">
        <v>9</v>
      </c>
      <c r="C114" s="419">
        <f>C11</f>
        <v>1573.5</v>
      </c>
      <c r="D114" s="191"/>
      <c r="E114" s="183"/>
    </row>
    <row r="115" spans="1:8" ht="12.75" customHeight="1" x14ac:dyDescent="0.25">
      <c r="A115" s="103"/>
      <c r="B115" s="195" t="s">
        <v>7</v>
      </c>
      <c r="C115" s="185" t="s">
        <v>263</v>
      </c>
      <c r="D115" s="191"/>
      <c r="E115" s="183"/>
    </row>
    <row r="116" spans="1:8" ht="12.75" customHeight="1" x14ac:dyDescent="0.25">
      <c r="A116" s="103"/>
      <c r="B116" s="195" t="s">
        <v>10</v>
      </c>
      <c r="C116" s="179">
        <f>C13</f>
        <v>3.3500000000000002E-2</v>
      </c>
      <c r="D116" s="191"/>
      <c r="E116" s="183"/>
    </row>
    <row r="117" spans="1:8" ht="12.75" customHeight="1" x14ac:dyDescent="0.25">
      <c r="A117" s="103"/>
      <c r="B117" s="195" t="s">
        <v>14</v>
      </c>
      <c r="C117" s="179">
        <f>C14</f>
        <v>2.3099999999999999E-2</v>
      </c>
      <c r="D117" s="191"/>
      <c r="E117" s="183"/>
    </row>
    <row r="118" spans="1:8" ht="12.75" customHeight="1" x14ac:dyDescent="0.25">
      <c r="A118" s="103"/>
      <c r="B118" s="195" t="s">
        <v>11</v>
      </c>
      <c r="C118" s="179">
        <f>C15</f>
        <v>4.0000000000000001E-3</v>
      </c>
      <c r="D118" s="191"/>
      <c r="E118" s="183"/>
    </row>
    <row r="119" spans="1:8" ht="12.75" customHeight="1" x14ac:dyDescent="0.25">
      <c r="A119" s="103"/>
      <c r="B119" s="103" t="s">
        <v>204</v>
      </c>
      <c r="C119" s="184" t="s">
        <v>277</v>
      </c>
      <c r="D119" s="191"/>
      <c r="E119" s="183"/>
    </row>
    <row r="120" spans="1:8" ht="12.75" customHeight="1" x14ac:dyDescent="0.25">
      <c r="A120" s="103"/>
      <c r="B120" s="178" t="s">
        <v>437</v>
      </c>
      <c r="C120" s="179">
        <v>1.4500000000000001E-2</v>
      </c>
      <c r="D120" s="191"/>
      <c r="E120" s="183"/>
    </row>
    <row r="121" spans="1:8" ht="12.75" customHeight="1" x14ac:dyDescent="0.25">
      <c r="A121" s="103"/>
      <c r="B121" s="195" t="s">
        <v>100</v>
      </c>
      <c r="C121" s="189"/>
      <c r="D121" s="191"/>
      <c r="E121" s="183"/>
      <c r="G121" s="140"/>
    </row>
    <row r="122" spans="1:8" ht="12.75" customHeight="1" thickBot="1" x14ac:dyDescent="0.3">
      <c r="A122" s="199"/>
      <c r="B122" s="200"/>
      <c r="C122" s="698"/>
      <c r="D122" s="202"/>
      <c r="E122" s="864">
        <f>4148291.55+8286.81</f>
        <v>4156578.36</v>
      </c>
      <c r="G122" s="140">
        <f>'Sched-B1'!C10+'Sched-B1'!D10</f>
        <v>4156578.36</v>
      </c>
      <c r="H122" s="194">
        <f>E122-G122</f>
        <v>0</v>
      </c>
    </row>
    <row r="123" spans="1:8" ht="12.75" customHeight="1" x14ac:dyDescent="0.25">
      <c r="A123" s="693" t="s">
        <v>121</v>
      </c>
      <c r="B123" s="174" t="s">
        <v>12</v>
      </c>
      <c r="C123" s="175" t="s">
        <v>241</v>
      </c>
      <c r="D123" s="697">
        <v>0</v>
      </c>
      <c r="E123" s="181" t="s">
        <v>0</v>
      </c>
    </row>
    <row r="124" spans="1:8" ht="12.75" customHeight="1" x14ac:dyDescent="0.25">
      <c r="A124" s="103"/>
      <c r="B124" s="178" t="s">
        <v>650</v>
      </c>
      <c r="C124" s="179">
        <v>6.13E-2</v>
      </c>
      <c r="D124" s="191"/>
      <c r="E124" s="183"/>
    </row>
    <row r="125" spans="1:8" ht="12.75" customHeight="1" x14ac:dyDescent="0.25">
      <c r="A125" s="103"/>
      <c r="B125" s="178" t="s">
        <v>427</v>
      </c>
      <c r="C125" s="179">
        <v>0.22</v>
      </c>
      <c r="D125" s="191"/>
      <c r="E125" s="183"/>
    </row>
    <row r="126" spans="1:8" ht="12.75" customHeight="1" x14ac:dyDescent="0.25">
      <c r="A126" s="103"/>
      <c r="B126" s="178" t="s">
        <v>428</v>
      </c>
      <c r="C126" s="474" t="s">
        <v>96</v>
      </c>
      <c r="D126" s="180"/>
      <c r="E126" s="183" t="s">
        <v>0</v>
      </c>
    </row>
    <row r="127" spans="1:8" ht="12.75" customHeight="1" x14ac:dyDescent="0.25">
      <c r="A127" s="103"/>
      <c r="B127" s="178" t="s">
        <v>429</v>
      </c>
      <c r="C127" s="474" t="s">
        <v>96</v>
      </c>
      <c r="D127" s="180"/>
      <c r="E127" s="183" t="s">
        <v>0</v>
      </c>
    </row>
    <row r="128" spans="1:8" ht="12.75" customHeight="1" x14ac:dyDescent="0.25">
      <c r="A128" s="103"/>
      <c r="B128" s="178" t="s">
        <v>430</v>
      </c>
      <c r="C128" s="474" t="s">
        <v>96</v>
      </c>
      <c r="D128" s="180"/>
      <c r="E128" s="183" t="s">
        <v>0</v>
      </c>
    </row>
    <row r="129" spans="1:8" ht="12.75" customHeight="1" x14ac:dyDescent="0.25">
      <c r="A129" s="103"/>
      <c r="B129" s="178" t="s">
        <v>431</v>
      </c>
      <c r="C129" s="474" t="s">
        <v>96</v>
      </c>
      <c r="D129" s="180"/>
      <c r="E129" s="183" t="s">
        <v>0</v>
      </c>
    </row>
    <row r="130" spans="1:8" ht="12.75" customHeight="1" x14ac:dyDescent="0.25">
      <c r="A130" s="103"/>
      <c r="B130" s="195" t="s">
        <v>8</v>
      </c>
      <c r="C130" s="179">
        <v>3.5999999999999999E-3</v>
      </c>
      <c r="D130" s="191"/>
      <c r="E130" s="183"/>
    </row>
    <row r="131" spans="1:8" ht="12.75" customHeight="1" x14ac:dyDescent="0.25">
      <c r="A131" s="103"/>
      <c r="B131" s="195" t="s">
        <v>9</v>
      </c>
      <c r="C131" s="419">
        <f>C11</f>
        <v>1573.5</v>
      </c>
      <c r="D131" s="191"/>
      <c r="E131" s="183"/>
    </row>
    <row r="132" spans="1:8" ht="12.75" customHeight="1" x14ac:dyDescent="0.25">
      <c r="A132" s="103"/>
      <c r="B132" s="195" t="s">
        <v>7</v>
      </c>
      <c r="C132" s="185" t="s">
        <v>263</v>
      </c>
      <c r="D132" s="191"/>
      <c r="E132" s="183"/>
    </row>
    <row r="133" spans="1:8" ht="12.75" customHeight="1" x14ac:dyDescent="0.25">
      <c r="A133" s="103"/>
      <c r="B133" s="195" t="s">
        <v>10</v>
      </c>
      <c r="C133" s="179">
        <f>C13</f>
        <v>3.3500000000000002E-2</v>
      </c>
      <c r="D133" s="191"/>
      <c r="E133" s="183"/>
    </row>
    <row r="134" spans="1:8" ht="12.75" customHeight="1" x14ac:dyDescent="0.25">
      <c r="A134" s="103"/>
      <c r="B134" s="195" t="s">
        <v>14</v>
      </c>
      <c r="C134" s="179">
        <f>C14</f>
        <v>2.3099999999999999E-2</v>
      </c>
      <c r="D134" s="191"/>
      <c r="E134" s="183"/>
    </row>
    <row r="135" spans="1:8" ht="12.75" customHeight="1" x14ac:dyDescent="0.25">
      <c r="A135" s="103"/>
      <c r="B135" s="195" t="s">
        <v>11</v>
      </c>
      <c r="C135" s="179">
        <f>C15</f>
        <v>4.0000000000000001E-3</v>
      </c>
      <c r="D135" s="191"/>
      <c r="E135" s="183"/>
    </row>
    <row r="136" spans="1:8" ht="12.75" customHeight="1" x14ac:dyDescent="0.25">
      <c r="A136" s="103"/>
      <c r="B136" s="103" t="s">
        <v>204</v>
      </c>
      <c r="C136" s="184" t="s">
        <v>277</v>
      </c>
      <c r="D136" s="191"/>
      <c r="E136" s="183"/>
    </row>
    <row r="137" spans="1:8" ht="12.75" customHeight="1" x14ac:dyDescent="0.25">
      <c r="A137" s="103"/>
      <c r="B137" s="178" t="s">
        <v>437</v>
      </c>
      <c r="C137" s="179">
        <v>1.4500000000000001E-2</v>
      </c>
      <c r="D137" s="191"/>
      <c r="E137" s="183"/>
    </row>
    <row r="138" spans="1:8" ht="12.75" customHeight="1" x14ac:dyDescent="0.25">
      <c r="A138" s="103"/>
      <c r="B138" s="195" t="s">
        <v>100</v>
      </c>
      <c r="C138" s="189"/>
      <c r="D138" s="191"/>
      <c r="E138" s="183"/>
      <c r="G138" s="140"/>
    </row>
    <row r="139" spans="1:8" ht="12.75" customHeight="1" thickBot="1" x14ac:dyDescent="0.3">
      <c r="A139" s="199"/>
      <c r="B139" s="200"/>
      <c r="C139" s="201"/>
      <c r="D139" s="202"/>
      <c r="E139" s="864">
        <f>2889326.27+1603.08</f>
        <v>2890929.35</v>
      </c>
      <c r="G139" s="140">
        <f>'Sched-B1'!C11+'Sched-B1'!D11</f>
        <v>2890929.35</v>
      </c>
      <c r="H139" s="140">
        <f>E139-G139</f>
        <v>0</v>
      </c>
    </row>
    <row r="140" spans="1:8" ht="12.75" customHeight="1" x14ac:dyDescent="0.25">
      <c r="A140" s="693" t="s">
        <v>18</v>
      </c>
      <c r="B140" s="174" t="s">
        <v>12</v>
      </c>
      <c r="C140" s="175" t="s">
        <v>241</v>
      </c>
      <c r="D140" s="697">
        <v>0</v>
      </c>
      <c r="E140" s="181" t="s">
        <v>0</v>
      </c>
    </row>
    <row r="141" spans="1:8" ht="12.75" customHeight="1" x14ac:dyDescent="0.25">
      <c r="A141" s="103"/>
      <c r="B141" s="178" t="s">
        <v>650</v>
      </c>
      <c r="C141" s="179">
        <v>6.13E-2</v>
      </c>
      <c r="D141" s="191"/>
      <c r="E141" s="183"/>
    </row>
    <row r="142" spans="1:8" ht="12.75" customHeight="1" x14ac:dyDescent="0.25">
      <c r="A142" s="103"/>
      <c r="B142" s="178" t="s">
        <v>427</v>
      </c>
      <c r="C142" s="179">
        <v>0.22</v>
      </c>
      <c r="D142" s="191"/>
      <c r="E142" s="183"/>
    </row>
    <row r="143" spans="1:8" ht="12.75" customHeight="1" x14ac:dyDescent="0.25">
      <c r="A143" s="103"/>
      <c r="B143" s="178" t="s">
        <v>428</v>
      </c>
      <c r="C143" s="474" t="s">
        <v>96</v>
      </c>
      <c r="D143" s="180"/>
      <c r="E143" s="183" t="s">
        <v>0</v>
      </c>
    </row>
    <row r="144" spans="1:8" ht="12.75" customHeight="1" x14ac:dyDescent="0.25">
      <c r="A144" s="103"/>
      <c r="B144" s="178" t="s">
        <v>429</v>
      </c>
      <c r="C144" s="474" t="s">
        <v>96</v>
      </c>
      <c r="D144" s="180"/>
      <c r="E144" s="183" t="s">
        <v>0</v>
      </c>
    </row>
    <row r="145" spans="1:8" ht="12.75" customHeight="1" x14ac:dyDescent="0.25">
      <c r="A145" s="103"/>
      <c r="B145" s="178" t="s">
        <v>430</v>
      </c>
      <c r="C145" s="474" t="s">
        <v>96</v>
      </c>
      <c r="D145" s="180"/>
      <c r="E145" s="183" t="s">
        <v>0</v>
      </c>
    </row>
    <row r="146" spans="1:8" ht="12.75" customHeight="1" x14ac:dyDescent="0.25">
      <c r="A146" s="103"/>
      <c r="B146" s="178" t="s">
        <v>431</v>
      </c>
      <c r="C146" s="474" t="s">
        <v>96</v>
      </c>
      <c r="D146" s="180"/>
      <c r="E146" s="183" t="s">
        <v>0</v>
      </c>
    </row>
    <row r="147" spans="1:8" ht="12.75" customHeight="1" x14ac:dyDescent="0.25">
      <c r="A147" s="103"/>
      <c r="B147" s="195" t="s">
        <v>8</v>
      </c>
      <c r="C147" s="179">
        <v>3.5999999999999999E-3</v>
      </c>
      <c r="D147" s="191"/>
      <c r="E147" s="183"/>
    </row>
    <row r="148" spans="1:8" ht="12.75" customHeight="1" x14ac:dyDescent="0.25">
      <c r="A148" s="103"/>
      <c r="B148" s="195" t="s">
        <v>9</v>
      </c>
      <c r="C148" s="419">
        <f>C11</f>
        <v>1573.5</v>
      </c>
      <c r="D148" s="191"/>
      <c r="E148" s="183"/>
    </row>
    <row r="149" spans="1:8" ht="12.75" customHeight="1" x14ac:dyDescent="0.25">
      <c r="A149" s="103"/>
      <c r="B149" s="195" t="s">
        <v>7</v>
      </c>
      <c r="C149" s="185" t="s">
        <v>263</v>
      </c>
      <c r="D149" s="191"/>
      <c r="E149" s="183"/>
    </row>
    <row r="150" spans="1:8" ht="12.75" customHeight="1" x14ac:dyDescent="0.25">
      <c r="A150" s="103"/>
      <c r="B150" s="195" t="s">
        <v>10</v>
      </c>
      <c r="C150" s="179">
        <f>C13</f>
        <v>3.3500000000000002E-2</v>
      </c>
      <c r="D150" s="191"/>
      <c r="E150" s="183"/>
    </row>
    <row r="151" spans="1:8" ht="12.75" customHeight="1" x14ac:dyDescent="0.25">
      <c r="A151" s="103"/>
      <c r="B151" s="195" t="s">
        <v>14</v>
      </c>
      <c r="C151" s="179">
        <f>C14</f>
        <v>2.3099999999999999E-2</v>
      </c>
      <c r="D151" s="191"/>
      <c r="E151" s="183"/>
    </row>
    <row r="152" spans="1:8" ht="12.75" customHeight="1" x14ac:dyDescent="0.25">
      <c r="A152" s="103"/>
      <c r="B152" s="195" t="s">
        <v>11</v>
      </c>
      <c r="C152" s="179">
        <f>C15</f>
        <v>4.0000000000000001E-3</v>
      </c>
      <c r="D152" s="191"/>
      <c r="E152" s="183"/>
    </row>
    <row r="153" spans="1:8" ht="12.75" customHeight="1" x14ac:dyDescent="0.25">
      <c r="A153" s="103"/>
      <c r="B153" s="103" t="s">
        <v>204</v>
      </c>
      <c r="C153" s="184" t="s">
        <v>277</v>
      </c>
      <c r="D153" s="191"/>
      <c r="E153" s="183"/>
    </row>
    <row r="154" spans="1:8" ht="12.75" customHeight="1" x14ac:dyDescent="0.25">
      <c r="A154" s="103"/>
      <c r="B154" s="178" t="s">
        <v>437</v>
      </c>
      <c r="C154" s="179">
        <v>1.4500000000000001E-2</v>
      </c>
      <c r="D154" s="191"/>
      <c r="E154" s="183"/>
    </row>
    <row r="155" spans="1:8" ht="12.75" customHeight="1" x14ac:dyDescent="0.25">
      <c r="A155" s="103"/>
      <c r="B155" s="195" t="s">
        <v>100</v>
      </c>
      <c r="C155" s="189"/>
      <c r="D155" s="191"/>
      <c r="E155" s="183"/>
    </row>
    <row r="156" spans="1:8" ht="12.75" customHeight="1" thickBot="1" x14ac:dyDescent="0.3">
      <c r="A156" s="728"/>
      <c r="B156" s="729"/>
      <c r="C156" s="730"/>
      <c r="D156" s="731"/>
      <c r="E156" s="864">
        <f>5587327.57+4957.36</f>
        <v>5592284.9300000006</v>
      </c>
      <c r="G156" s="140">
        <f>'Sched-B1'!C12+'Sched-B1'!D12</f>
        <v>5592284.9300000006</v>
      </c>
      <c r="H156" s="140">
        <f>E156-G156</f>
        <v>0</v>
      </c>
    </row>
    <row r="157" spans="1:8" ht="12.75" customHeight="1" x14ac:dyDescent="0.25">
      <c r="A157" s="693" t="s">
        <v>19</v>
      </c>
      <c r="B157" s="174" t="s">
        <v>12</v>
      </c>
      <c r="C157" s="175" t="s">
        <v>241</v>
      </c>
      <c r="D157" s="697"/>
      <c r="E157" s="181" t="s">
        <v>0</v>
      </c>
    </row>
    <row r="158" spans="1:8" ht="12.75" customHeight="1" x14ac:dyDescent="0.25">
      <c r="A158" s="103"/>
      <c r="B158" s="178" t="s">
        <v>650</v>
      </c>
      <c r="C158" s="179">
        <v>6.13E-2</v>
      </c>
      <c r="D158" s="191"/>
      <c r="E158" s="183"/>
    </row>
    <row r="159" spans="1:8" ht="12.75" customHeight="1" x14ac:dyDescent="0.25">
      <c r="A159" s="103"/>
      <c r="B159" s="178" t="s">
        <v>427</v>
      </c>
      <c r="C159" s="179">
        <v>0.22</v>
      </c>
      <c r="D159" s="191"/>
      <c r="E159" s="183"/>
    </row>
    <row r="160" spans="1:8" ht="12.75" customHeight="1" x14ac:dyDescent="0.25">
      <c r="A160" s="103"/>
      <c r="B160" s="178" t="s">
        <v>428</v>
      </c>
      <c r="C160" s="474" t="s">
        <v>96</v>
      </c>
      <c r="D160" s="180"/>
      <c r="E160" s="183" t="s">
        <v>0</v>
      </c>
    </row>
    <row r="161" spans="1:8" ht="12.75" customHeight="1" x14ac:dyDescent="0.25">
      <c r="A161" s="103"/>
      <c r="B161" s="178" t="s">
        <v>429</v>
      </c>
      <c r="C161" s="474" t="s">
        <v>96</v>
      </c>
      <c r="D161" s="180"/>
      <c r="E161" s="183" t="s">
        <v>0</v>
      </c>
    </row>
    <row r="162" spans="1:8" ht="12.75" customHeight="1" x14ac:dyDescent="0.25">
      <c r="A162" s="103"/>
      <c r="B162" s="178" t="s">
        <v>430</v>
      </c>
      <c r="C162" s="474" t="s">
        <v>96</v>
      </c>
      <c r="D162" s="180"/>
      <c r="E162" s="183" t="s">
        <v>0</v>
      </c>
    </row>
    <row r="163" spans="1:8" ht="12.75" customHeight="1" x14ac:dyDescent="0.25">
      <c r="A163" s="103"/>
      <c r="B163" s="178" t="s">
        <v>431</v>
      </c>
      <c r="C163" s="474" t="s">
        <v>96</v>
      </c>
      <c r="D163" s="180"/>
      <c r="E163" s="183" t="s">
        <v>0</v>
      </c>
    </row>
    <row r="164" spans="1:8" ht="12.75" customHeight="1" x14ac:dyDescent="0.25">
      <c r="A164" s="103"/>
      <c r="B164" s="195" t="s">
        <v>8</v>
      </c>
      <c r="C164" s="179">
        <v>3.5999999999999999E-3</v>
      </c>
      <c r="D164" s="191"/>
      <c r="E164" s="183"/>
    </row>
    <row r="165" spans="1:8" ht="12.75" customHeight="1" x14ac:dyDescent="0.25">
      <c r="A165" s="103"/>
      <c r="B165" s="195" t="s">
        <v>9</v>
      </c>
      <c r="C165" s="419">
        <f>C11</f>
        <v>1573.5</v>
      </c>
      <c r="D165" s="191"/>
      <c r="E165" s="183"/>
    </row>
    <row r="166" spans="1:8" ht="12.75" customHeight="1" x14ac:dyDescent="0.25">
      <c r="A166" s="103"/>
      <c r="B166" s="195" t="s">
        <v>7</v>
      </c>
      <c r="C166" s="185" t="s">
        <v>263</v>
      </c>
      <c r="D166" s="191"/>
      <c r="E166" s="183"/>
    </row>
    <row r="167" spans="1:8" ht="12.75" customHeight="1" x14ac:dyDescent="0.25">
      <c r="A167" s="103"/>
      <c r="B167" s="195" t="s">
        <v>10</v>
      </c>
      <c r="C167" s="179">
        <f>C13</f>
        <v>3.3500000000000002E-2</v>
      </c>
      <c r="D167" s="191"/>
      <c r="E167" s="183"/>
    </row>
    <row r="168" spans="1:8" ht="12.75" customHeight="1" x14ac:dyDescent="0.25">
      <c r="A168" s="103"/>
      <c r="B168" s="195" t="s">
        <v>14</v>
      </c>
      <c r="C168" s="179">
        <f>C14</f>
        <v>2.3099999999999999E-2</v>
      </c>
      <c r="D168" s="191"/>
      <c r="E168" s="183"/>
    </row>
    <row r="169" spans="1:8" ht="12.75" customHeight="1" x14ac:dyDescent="0.25">
      <c r="A169" s="103"/>
      <c r="B169" s="195" t="s">
        <v>11</v>
      </c>
      <c r="C169" s="179">
        <f>C15</f>
        <v>4.0000000000000001E-3</v>
      </c>
      <c r="D169" s="191"/>
      <c r="E169" s="183"/>
    </row>
    <row r="170" spans="1:8" ht="12.75" customHeight="1" x14ac:dyDescent="0.25">
      <c r="A170" s="103"/>
      <c r="B170" s="103" t="s">
        <v>204</v>
      </c>
      <c r="C170" s="184" t="s">
        <v>277</v>
      </c>
      <c r="D170" s="191"/>
      <c r="E170" s="183"/>
    </row>
    <row r="171" spans="1:8" ht="12.75" customHeight="1" x14ac:dyDescent="0.25">
      <c r="A171" s="103"/>
      <c r="B171" s="178" t="s">
        <v>437</v>
      </c>
      <c r="C171" s="179">
        <v>1.4500000000000001E-2</v>
      </c>
      <c r="D171" s="191"/>
      <c r="E171" s="183"/>
    </row>
    <row r="172" spans="1:8" ht="12.75" customHeight="1" x14ac:dyDescent="0.25">
      <c r="A172" s="103"/>
      <c r="B172" s="195" t="s">
        <v>100</v>
      </c>
      <c r="C172" s="189"/>
      <c r="D172" s="191"/>
      <c r="E172" s="183"/>
      <c r="G172" s="140"/>
    </row>
    <row r="173" spans="1:8" ht="12.75" customHeight="1" thickBot="1" x14ac:dyDescent="0.3">
      <c r="A173" s="199"/>
      <c r="B173" s="200"/>
      <c r="C173" s="201"/>
      <c r="D173" s="202"/>
      <c r="E173" s="864">
        <f>8651978.55+11574.36</f>
        <v>8663552.9100000001</v>
      </c>
      <c r="G173" s="140">
        <f>'Sched-B1'!C13+'Sched-B1'!D13</f>
        <v>8663552.9100000001</v>
      </c>
      <c r="H173" s="140">
        <f>E173-G173</f>
        <v>0</v>
      </c>
    </row>
    <row r="174" spans="1:8" ht="12.75" customHeight="1" x14ac:dyDescent="0.25">
      <c r="A174" s="693" t="s">
        <v>25</v>
      </c>
      <c r="B174" s="174" t="s">
        <v>12</v>
      </c>
      <c r="C174" s="175" t="s">
        <v>241</v>
      </c>
      <c r="D174" s="697"/>
      <c r="E174" s="181" t="s">
        <v>0</v>
      </c>
    </row>
    <row r="175" spans="1:8" ht="12.75" customHeight="1" x14ac:dyDescent="0.25">
      <c r="A175" s="103"/>
      <c r="B175" s="178" t="s">
        <v>650</v>
      </c>
      <c r="C175" s="179">
        <v>6.13E-2</v>
      </c>
      <c r="D175" s="191"/>
      <c r="E175" s="183"/>
    </row>
    <row r="176" spans="1:8" ht="12.75" customHeight="1" x14ac:dyDescent="0.25">
      <c r="A176" s="103"/>
      <c r="B176" s="178" t="s">
        <v>427</v>
      </c>
      <c r="C176" s="179">
        <v>0.22</v>
      </c>
      <c r="D176" s="191"/>
      <c r="E176" s="183"/>
    </row>
    <row r="177" spans="1:8" ht="12.75" customHeight="1" x14ac:dyDescent="0.25">
      <c r="A177" s="103"/>
      <c r="B177" s="178" t="s">
        <v>428</v>
      </c>
      <c r="C177" s="474" t="s">
        <v>96</v>
      </c>
      <c r="D177" s="180"/>
      <c r="E177" s="183" t="s">
        <v>0</v>
      </c>
    </row>
    <row r="178" spans="1:8" ht="12.75" customHeight="1" x14ac:dyDescent="0.25">
      <c r="A178" s="103"/>
      <c r="B178" s="178" t="s">
        <v>429</v>
      </c>
      <c r="C178" s="474" t="s">
        <v>96</v>
      </c>
      <c r="D178" s="180"/>
      <c r="E178" s="183" t="s">
        <v>0</v>
      </c>
    </row>
    <row r="179" spans="1:8" ht="12.75" customHeight="1" x14ac:dyDescent="0.25">
      <c r="A179" s="103"/>
      <c r="B179" s="178" t="s">
        <v>430</v>
      </c>
      <c r="C179" s="474" t="s">
        <v>96</v>
      </c>
      <c r="D179" s="180"/>
      <c r="E179" s="183" t="s">
        <v>0</v>
      </c>
    </row>
    <row r="180" spans="1:8" ht="12.75" customHeight="1" x14ac:dyDescent="0.25">
      <c r="A180" s="103"/>
      <c r="B180" s="178" t="s">
        <v>431</v>
      </c>
      <c r="C180" s="474" t="s">
        <v>96</v>
      </c>
      <c r="D180" s="180"/>
      <c r="E180" s="183" t="s">
        <v>0</v>
      </c>
    </row>
    <row r="181" spans="1:8" ht="12.75" customHeight="1" x14ac:dyDescent="0.25">
      <c r="A181" s="103"/>
      <c r="B181" s="195" t="s">
        <v>8</v>
      </c>
      <c r="C181" s="179">
        <v>3.5999999999999999E-3</v>
      </c>
      <c r="D181" s="191"/>
      <c r="E181" s="183"/>
    </row>
    <row r="182" spans="1:8" ht="12.75" customHeight="1" x14ac:dyDescent="0.25">
      <c r="A182" s="103"/>
      <c r="B182" s="195" t="s">
        <v>9</v>
      </c>
      <c r="C182" s="419">
        <f>C11</f>
        <v>1573.5</v>
      </c>
      <c r="D182" s="191"/>
      <c r="E182" s="183"/>
    </row>
    <row r="183" spans="1:8" ht="12.75" customHeight="1" x14ac:dyDescent="0.25">
      <c r="A183" s="103"/>
      <c r="B183" s="195" t="s">
        <v>7</v>
      </c>
      <c r="C183" s="185" t="s">
        <v>263</v>
      </c>
      <c r="D183" s="191"/>
      <c r="E183" s="183"/>
    </row>
    <row r="184" spans="1:8" ht="12.75" customHeight="1" x14ac:dyDescent="0.25">
      <c r="A184" s="103"/>
      <c r="B184" s="195" t="s">
        <v>10</v>
      </c>
      <c r="C184" s="179">
        <f>C13</f>
        <v>3.3500000000000002E-2</v>
      </c>
      <c r="D184" s="191"/>
      <c r="E184" s="183"/>
    </row>
    <row r="185" spans="1:8" ht="12.75" customHeight="1" x14ac:dyDescent="0.25">
      <c r="A185" s="103"/>
      <c r="B185" s="195" t="s">
        <v>14</v>
      </c>
      <c r="C185" s="179">
        <f>C14</f>
        <v>2.3099999999999999E-2</v>
      </c>
      <c r="D185" s="191"/>
      <c r="E185" s="183"/>
    </row>
    <row r="186" spans="1:8" ht="12.75" customHeight="1" x14ac:dyDescent="0.25">
      <c r="A186" s="103"/>
      <c r="B186" s="195" t="s">
        <v>11</v>
      </c>
      <c r="C186" s="179">
        <f>C15</f>
        <v>4.0000000000000001E-3</v>
      </c>
      <c r="D186" s="191"/>
      <c r="E186" s="183"/>
    </row>
    <row r="187" spans="1:8" ht="12.75" customHeight="1" x14ac:dyDescent="0.25">
      <c r="A187" s="103"/>
      <c r="B187" s="103" t="s">
        <v>204</v>
      </c>
      <c r="C187" s="184" t="s">
        <v>277</v>
      </c>
      <c r="D187" s="191"/>
      <c r="E187" s="183"/>
    </row>
    <row r="188" spans="1:8" ht="12.75" customHeight="1" x14ac:dyDescent="0.25">
      <c r="A188" s="103"/>
      <c r="B188" s="178" t="s">
        <v>437</v>
      </c>
      <c r="C188" s="179">
        <v>1.4500000000000001E-2</v>
      </c>
      <c r="D188" s="191"/>
      <c r="E188" s="183"/>
    </row>
    <row r="189" spans="1:8" ht="12.75" customHeight="1" x14ac:dyDescent="0.25">
      <c r="A189" s="103"/>
      <c r="B189" s="195" t="s">
        <v>100</v>
      </c>
      <c r="C189" s="189"/>
      <c r="D189" s="191"/>
      <c r="E189" s="183"/>
      <c r="G189" s="140"/>
    </row>
    <row r="190" spans="1:8" ht="12.75" customHeight="1" thickBot="1" x14ac:dyDescent="0.3">
      <c r="A190" s="199"/>
      <c r="B190" s="200"/>
      <c r="C190" s="201"/>
      <c r="D190" s="202"/>
      <c r="E190" s="864">
        <f>6172769.24+8920.85</f>
        <v>6181690.0899999999</v>
      </c>
      <c r="G190" s="140">
        <f>'Sched-B1'!C14+'Sched-B1'!D14</f>
        <v>6181690.0899999999</v>
      </c>
      <c r="H190" s="140">
        <f>E190-G190</f>
        <v>0</v>
      </c>
    </row>
    <row r="191" spans="1:8" ht="12.75" customHeight="1" x14ac:dyDescent="0.25">
      <c r="A191" s="693" t="s">
        <v>20</v>
      </c>
      <c r="B191" s="174" t="s">
        <v>12</v>
      </c>
      <c r="C191" s="175" t="s">
        <v>241</v>
      </c>
      <c r="D191" s="697">
        <v>0</v>
      </c>
      <c r="E191" s="181" t="s">
        <v>0</v>
      </c>
    </row>
    <row r="192" spans="1:8" ht="12.75" customHeight="1" x14ac:dyDescent="0.25">
      <c r="A192" s="103"/>
      <c r="B192" s="178" t="s">
        <v>650</v>
      </c>
      <c r="C192" s="179">
        <v>6.13E-2</v>
      </c>
      <c r="D192" s="191"/>
      <c r="E192" s="183"/>
    </row>
    <row r="193" spans="1:8" ht="12.75" customHeight="1" x14ac:dyDescent="0.25">
      <c r="A193" s="103"/>
      <c r="B193" s="178" t="s">
        <v>427</v>
      </c>
      <c r="C193" s="179">
        <v>0.22</v>
      </c>
      <c r="D193" s="191"/>
      <c r="E193" s="183"/>
    </row>
    <row r="194" spans="1:8" ht="12.75" customHeight="1" x14ac:dyDescent="0.25">
      <c r="A194" s="103"/>
      <c r="B194" s="178" t="s">
        <v>428</v>
      </c>
      <c r="C194" s="474" t="s">
        <v>96</v>
      </c>
      <c r="D194" s="180"/>
      <c r="E194" s="183" t="s">
        <v>0</v>
      </c>
    </row>
    <row r="195" spans="1:8" ht="12.75" customHeight="1" x14ac:dyDescent="0.25">
      <c r="A195" s="103"/>
      <c r="B195" s="178" t="s">
        <v>429</v>
      </c>
      <c r="C195" s="474" t="s">
        <v>96</v>
      </c>
      <c r="D195" s="180"/>
      <c r="E195" s="183" t="s">
        <v>0</v>
      </c>
    </row>
    <row r="196" spans="1:8" ht="12.75" customHeight="1" x14ac:dyDescent="0.25">
      <c r="A196" s="103"/>
      <c r="B196" s="178" t="s">
        <v>430</v>
      </c>
      <c r="C196" s="474" t="s">
        <v>96</v>
      </c>
      <c r="D196" s="180"/>
      <c r="E196" s="183" t="s">
        <v>0</v>
      </c>
    </row>
    <row r="197" spans="1:8" ht="12.75" customHeight="1" x14ac:dyDescent="0.25">
      <c r="A197" s="103"/>
      <c r="B197" s="178" t="s">
        <v>431</v>
      </c>
      <c r="C197" s="474" t="s">
        <v>96</v>
      </c>
      <c r="D197" s="180"/>
      <c r="E197" s="183" t="s">
        <v>0</v>
      </c>
    </row>
    <row r="198" spans="1:8" ht="12.75" customHeight="1" x14ac:dyDescent="0.25">
      <c r="A198" s="103"/>
      <c r="B198" s="195" t="s">
        <v>8</v>
      </c>
      <c r="C198" s="179">
        <v>3.5999999999999999E-3</v>
      </c>
      <c r="D198" s="191"/>
      <c r="E198" s="183"/>
    </row>
    <row r="199" spans="1:8" ht="12.75" customHeight="1" x14ac:dyDescent="0.25">
      <c r="A199" s="103"/>
      <c r="B199" s="195" t="s">
        <v>9</v>
      </c>
      <c r="C199" s="419">
        <f>C11</f>
        <v>1573.5</v>
      </c>
      <c r="D199" s="191"/>
      <c r="E199" s="183"/>
    </row>
    <row r="200" spans="1:8" ht="12.75" customHeight="1" x14ac:dyDescent="0.25">
      <c r="A200" s="103"/>
      <c r="B200" s="195" t="s">
        <v>7</v>
      </c>
      <c r="C200" s="185" t="s">
        <v>263</v>
      </c>
      <c r="D200" s="191"/>
      <c r="E200" s="183"/>
    </row>
    <row r="201" spans="1:8" ht="12.75" customHeight="1" x14ac:dyDescent="0.25">
      <c r="A201" s="103"/>
      <c r="B201" s="195" t="s">
        <v>10</v>
      </c>
      <c r="C201" s="179">
        <f>C13</f>
        <v>3.3500000000000002E-2</v>
      </c>
      <c r="D201" s="191"/>
      <c r="E201" s="183"/>
    </row>
    <row r="202" spans="1:8" ht="12.75" customHeight="1" x14ac:dyDescent="0.25">
      <c r="A202" s="103"/>
      <c r="B202" s="195" t="s">
        <v>14</v>
      </c>
      <c r="C202" s="179">
        <f>C14</f>
        <v>2.3099999999999999E-2</v>
      </c>
      <c r="D202" s="191"/>
      <c r="E202" s="183"/>
    </row>
    <row r="203" spans="1:8" ht="12.75" customHeight="1" x14ac:dyDescent="0.25">
      <c r="A203" s="103"/>
      <c r="B203" s="195" t="s">
        <v>11</v>
      </c>
      <c r="C203" s="179">
        <f>C15</f>
        <v>4.0000000000000001E-3</v>
      </c>
      <c r="D203" s="191"/>
      <c r="E203" s="183"/>
    </row>
    <row r="204" spans="1:8" ht="12.75" customHeight="1" x14ac:dyDescent="0.25">
      <c r="A204" s="103"/>
      <c r="B204" s="103" t="s">
        <v>204</v>
      </c>
      <c r="C204" s="184" t="s">
        <v>277</v>
      </c>
      <c r="D204" s="191"/>
      <c r="E204" s="183"/>
    </row>
    <row r="205" spans="1:8" ht="12.75" customHeight="1" x14ac:dyDescent="0.25">
      <c r="A205" s="103"/>
      <c r="B205" s="178" t="s">
        <v>437</v>
      </c>
      <c r="C205" s="179">
        <v>1.4500000000000001E-2</v>
      </c>
      <c r="D205" s="191"/>
      <c r="E205" s="183"/>
    </row>
    <row r="206" spans="1:8" ht="12.75" customHeight="1" x14ac:dyDescent="0.25">
      <c r="A206" s="112"/>
      <c r="B206" s="196" t="s">
        <v>100</v>
      </c>
      <c r="C206" s="189"/>
      <c r="D206" s="197"/>
      <c r="E206" s="198"/>
      <c r="G206" s="140"/>
    </row>
    <row r="207" spans="1:8" ht="12.75" customHeight="1" thickBot="1" x14ac:dyDescent="0.3">
      <c r="A207" s="199"/>
      <c r="B207" s="200"/>
      <c r="C207" s="201"/>
      <c r="D207" s="202"/>
      <c r="E207" s="864">
        <f>3579958.38+3665.68</f>
        <v>3583624.06</v>
      </c>
      <c r="G207" s="140">
        <f>'Sched-B1'!C15+'Sched-B1'!D15</f>
        <v>3583624.06</v>
      </c>
      <c r="H207" s="140">
        <f>E207-G207</f>
        <v>0</v>
      </c>
    </row>
    <row r="208" spans="1:8" ht="12.75" customHeight="1" x14ac:dyDescent="0.25">
      <c r="A208" s="693" t="s">
        <v>240</v>
      </c>
      <c r="B208" s="700" t="s">
        <v>12</v>
      </c>
      <c r="C208" s="175" t="s">
        <v>241</v>
      </c>
      <c r="D208" s="697">
        <v>0</v>
      </c>
      <c r="E208" s="181" t="s">
        <v>0</v>
      </c>
    </row>
    <row r="209" spans="1:8" ht="12.75" customHeight="1" x14ac:dyDescent="0.25">
      <c r="A209" s="111"/>
      <c r="B209" s="178" t="s">
        <v>650</v>
      </c>
      <c r="C209" s="179">
        <v>6.13E-2</v>
      </c>
      <c r="D209" s="191">
        <v>0</v>
      </c>
      <c r="E209" s="183"/>
    </row>
    <row r="210" spans="1:8" ht="12.75" customHeight="1" x14ac:dyDescent="0.25">
      <c r="A210" s="103"/>
      <c r="B210" s="178" t="s">
        <v>427</v>
      </c>
      <c r="C210" s="179">
        <v>0.22</v>
      </c>
      <c r="D210" s="191">
        <v>0</v>
      </c>
      <c r="E210" s="183"/>
    </row>
    <row r="211" spans="1:8" ht="12.75" customHeight="1" x14ac:dyDescent="0.25">
      <c r="A211" s="103"/>
      <c r="B211" s="178" t="s">
        <v>428</v>
      </c>
      <c r="C211" s="474" t="s">
        <v>96</v>
      </c>
      <c r="D211" s="180">
        <v>0</v>
      </c>
      <c r="E211" s="183" t="s">
        <v>0</v>
      </c>
    </row>
    <row r="212" spans="1:8" ht="12.75" customHeight="1" x14ac:dyDescent="0.25">
      <c r="A212" s="103"/>
      <c r="B212" s="178" t="s">
        <v>429</v>
      </c>
      <c r="C212" s="474" t="s">
        <v>96</v>
      </c>
      <c r="D212" s="180">
        <v>0</v>
      </c>
      <c r="E212" s="183" t="s">
        <v>0</v>
      </c>
    </row>
    <row r="213" spans="1:8" ht="12.75" customHeight="1" x14ac:dyDescent="0.25">
      <c r="A213" s="103"/>
      <c r="B213" s="178" t="s">
        <v>430</v>
      </c>
      <c r="C213" s="474" t="s">
        <v>96</v>
      </c>
      <c r="D213" s="180">
        <v>0</v>
      </c>
      <c r="E213" s="183" t="s">
        <v>0</v>
      </c>
    </row>
    <row r="214" spans="1:8" ht="12.75" customHeight="1" x14ac:dyDescent="0.25">
      <c r="A214" s="103"/>
      <c r="B214" s="178" t="s">
        <v>431</v>
      </c>
      <c r="C214" s="474" t="s">
        <v>96</v>
      </c>
      <c r="D214" s="180">
        <v>0</v>
      </c>
      <c r="E214" s="183" t="s">
        <v>0</v>
      </c>
    </row>
    <row r="215" spans="1:8" ht="12.75" customHeight="1" x14ac:dyDescent="0.25">
      <c r="A215" s="103"/>
      <c r="B215" s="178" t="s">
        <v>8</v>
      </c>
      <c r="C215" s="179">
        <v>3.5999999999999999E-3</v>
      </c>
      <c r="D215" s="191">
        <v>0</v>
      </c>
      <c r="E215" s="183"/>
    </row>
    <row r="216" spans="1:8" ht="12.75" customHeight="1" x14ac:dyDescent="0.25">
      <c r="A216" s="103"/>
      <c r="B216" s="178" t="s">
        <v>9</v>
      </c>
      <c r="C216" s="419">
        <f>C11</f>
        <v>1573.5</v>
      </c>
      <c r="D216" s="191">
        <v>0</v>
      </c>
      <c r="E216" s="183"/>
    </row>
    <row r="217" spans="1:8" ht="12.75" customHeight="1" x14ac:dyDescent="0.25">
      <c r="A217" s="103"/>
      <c r="B217" s="178" t="s">
        <v>7</v>
      </c>
      <c r="C217" s="185" t="s">
        <v>263</v>
      </c>
      <c r="D217" s="191">
        <v>0</v>
      </c>
      <c r="E217" s="183"/>
    </row>
    <row r="218" spans="1:8" ht="12.75" customHeight="1" x14ac:dyDescent="0.25">
      <c r="A218" s="103"/>
      <c r="B218" s="178" t="s">
        <v>10</v>
      </c>
      <c r="C218" s="179">
        <f>C13</f>
        <v>3.3500000000000002E-2</v>
      </c>
      <c r="D218" s="191">
        <v>0</v>
      </c>
      <c r="E218" s="183"/>
    </row>
    <row r="219" spans="1:8" ht="12.75" customHeight="1" x14ac:dyDescent="0.25">
      <c r="A219" s="103"/>
      <c r="B219" s="178" t="s">
        <v>14</v>
      </c>
      <c r="C219" s="179">
        <f>C14</f>
        <v>2.3099999999999999E-2</v>
      </c>
      <c r="D219" s="191">
        <v>0</v>
      </c>
      <c r="E219" s="183"/>
    </row>
    <row r="220" spans="1:8" ht="12.75" customHeight="1" x14ac:dyDescent="0.25">
      <c r="A220" s="103"/>
      <c r="B220" s="178" t="s">
        <v>11</v>
      </c>
      <c r="C220" s="179">
        <f>C15</f>
        <v>4.0000000000000001E-3</v>
      </c>
      <c r="D220" s="191">
        <v>0</v>
      </c>
      <c r="E220" s="183"/>
    </row>
    <row r="221" spans="1:8" ht="12.75" customHeight="1" x14ac:dyDescent="0.25">
      <c r="A221" s="103"/>
      <c r="B221" s="186" t="s">
        <v>204</v>
      </c>
      <c r="C221" s="184" t="s">
        <v>277</v>
      </c>
      <c r="D221" s="191">
        <v>0</v>
      </c>
      <c r="E221" s="183"/>
    </row>
    <row r="222" spans="1:8" ht="12.75" customHeight="1" x14ac:dyDescent="0.25">
      <c r="A222" s="103"/>
      <c r="B222" s="178" t="s">
        <v>437</v>
      </c>
      <c r="C222" s="179">
        <v>1.4500000000000001E-2</v>
      </c>
      <c r="D222" s="191">
        <v>0</v>
      </c>
      <c r="E222" s="183"/>
    </row>
    <row r="223" spans="1:8" ht="12.75" customHeight="1" x14ac:dyDescent="0.25">
      <c r="A223" s="103"/>
      <c r="B223" s="178" t="s">
        <v>100</v>
      </c>
      <c r="C223" s="189"/>
      <c r="D223" s="191">
        <v>0</v>
      </c>
      <c r="E223" s="183"/>
      <c r="G223" s="140"/>
    </row>
    <row r="224" spans="1:8" ht="12.75" customHeight="1" thickBot="1" x14ac:dyDescent="0.3">
      <c r="A224" s="203"/>
      <c r="B224" s="204"/>
      <c r="C224" s="205"/>
      <c r="D224" s="206"/>
      <c r="E224" s="865">
        <f>1787810.06+2023.23</f>
        <v>1789833.29</v>
      </c>
      <c r="G224" s="140">
        <f>'Sched-B1'!C16+'Sched-B1'!D16</f>
        <v>1789833.29</v>
      </c>
      <c r="H224" s="194">
        <f>E224-G224</f>
        <v>0</v>
      </c>
    </row>
    <row r="225" spans="1:8" ht="19.5" customHeight="1" thickBot="1" x14ac:dyDescent="0.3">
      <c r="A225" s="956" t="s">
        <v>21</v>
      </c>
      <c r="B225" s="957"/>
      <c r="C225" s="957"/>
      <c r="D225" s="225"/>
      <c r="E225" s="888">
        <f>SUM(E224,E207,E190,E173,E156,E139,E122,E105,E88,E54,E37,E20+E71)</f>
        <v>76445662.479999989</v>
      </c>
      <c r="G225" s="140">
        <f>SUM(G3:G224)</f>
        <v>76445662.480000004</v>
      </c>
    </row>
    <row r="226" spans="1:8" ht="15.75" thickTop="1" x14ac:dyDescent="0.25">
      <c r="A226" s="113"/>
      <c r="B226" s="207"/>
      <c r="C226" s="208"/>
      <c r="D226" s="114"/>
      <c r="E226" s="209"/>
      <c r="G226" s="140">
        <f>'Sched-B1'!C17+'Sched-B1'!D17</f>
        <v>76445662.479999989</v>
      </c>
    </row>
    <row r="227" spans="1:8" x14ac:dyDescent="0.25">
      <c r="A227" s="420" t="s">
        <v>837</v>
      </c>
      <c r="B227" s="207"/>
      <c r="C227" s="208"/>
      <c r="D227" s="114"/>
      <c r="E227" s="209"/>
      <c r="G227" s="140">
        <f>G225-G226</f>
        <v>0</v>
      </c>
      <c r="H227" s="132" t="s">
        <v>344</v>
      </c>
    </row>
    <row r="228" spans="1:8" x14ac:dyDescent="0.25">
      <c r="B228" s="207"/>
      <c r="C228" s="208"/>
      <c r="D228" s="114"/>
      <c r="E228" s="209"/>
    </row>
    <row r="229" spans="1:8" x14ac:dyDescent="0.25">
      <c r="A229" s="115"/>
      <c r="B229" s="207"/>
      <c r="C229" s="208"/>
      <c r="D229" s="114"/>
      <c r="E229" s="209"/>
    </row>
    <row r="230" spans="1:8" x14ac:dyDescent="0.25">
      <c r="B230" s="207"/>
      <c r="C230" s="208"/>
      <c r="D230" s="114"/>
      <c r="E230" s="209"/>
    </row>
    <row r="231" spans="1:8" x14ac:dyDescent="0.25">
      <c r="B231" s="207"/>
      <c r="C231" s="208"/>
      <c r="D231" s="114"/>
      <c r="E231" s="209"/>
    </row>
    <row r="232" spans="1:8" x14ac:dyDescent="0.25">
      <c r="B232" s="207"/>
      <c r="C232" s="208"/>
      <c r="D232" s="114"/>
      <c r="E232" s="209"/>
    </row>
    <row r="233" spans="1:8" x14ac:dyDescent="0.25">
      <c r="B233" s="207"/>
      <c r="C233" s="208"/>
      <c r="D233" s="114"/>
      <c r="E233" s="209"/>
    </row>
    <row r="234" spans="1:8" x14ac:dyDescent="0.25">
      <c r="B234" s="207"/>
      <c r="C234" s="208"/>
      <c r="D234" s="114"/>
      <c r="E234" s="209"/>
    </row>
    <row r="235" spans="1:8" x14ac:dyDescent="0.25">
      <c r="B235" s="207"/>
      <c r="C235" s="208"/>
      <c r="D235" s="114"/>
      <c r="E235" s="209"/>
    </row>
    <row r="236" spans="1:8" x14ac:dyDescent="0.25">
      <c r="D236" s="210"/>
      <c r="E236" s="210"/>
    </row>
    <row r="237" spans="1:8" x14ac:dyDescent="0.25">
      <c r="A237" s="211"/>
      <c r="D237" s="210"/>
      <c r="E237" s="210"/>
    </row>
    <row r="238" spans="1:8" x14ac:dyDescent="0.25">
      <c r="D238" s="210"/>
      <c r="E238" s="210"/>
    </row>
    <row r="239" spans="1:8" x14ac:dyDescent="0.25">
      <c r="D239" s="210"/>
      <c r="E239" s="210"/>
    </row>
    <row r="240" spans="1:8" x14ac:dyDescent="0.25">
      <c r="D240" s="210"/>
      <c r="E240" s="210"/>
    </row>
    <row r="241" spans="4:5" x14ac:dyDescent="0.25">
      <c r="D241" s="210"/>
      <c r="E241" s="210"/>
    </row>
    <row r="242" spans="4:5" x14ac:dyDescent="0.25">
      <c r="D242" s="210"/>
      <c r="E242" s="210"/>
    </row>
    <row r="243" spans="4:5" x14ac:dyDescent="0.25">
      <c r="D243" s="210"/>
      <c r="E243" s="210"/>
    </row>
    <row r="244" spans="4:5" x14ac:dyDescent="0.25">
      <c r="D244" s="210"/>
      <c r="E244" s="210"/>
    </row>
    <row r="245" spans="4:5" x14ac:dyDescent="0.25">
      <c r="D245" s="210"/>
      <c r="E245" s="210"/>
    </row>
    <row r="246" spans="4:5" x14ac:dyDescent="0.25">
      <c r="D246" s="210"/>
      <c r="E246" s="210"/>
    </row>
    <row r="247" spans="4:5" x14ac:dyDescent="0.25">
      <c r="D247" s="210"/>
      <c r="E247" s="210"/>
    </row>
    <row r="248" spans="4:5" x14ac:dyDescent="0.25">
      <c r="D248" s="210"/>
      <c r="E248" s="210"/>
    </row>
    <row r="249" spans="4:5" x14ac:dyDescent="0.25">
      <c r="D249" s="210"/>
      <c r="E249" s="210"/>
    </row>
    <row r="250" spans="4:5" x14ac:dyDescent="0.25">
      <c r="D250" s="210"/>
      <c r="E250" s="210"/>
    </row>
    <row r="251" spans="4:5" x14ac:dyDescent="0.25">
      <c r="D251" s="210"/>
      <c r="E251" s="210"/>
    </row>
    <row r="252" spans="4:5" x14ac:dyDescent="0.25">
      <c r="D252" s="210"/>
      <c r="E252" s="210"/>
    </row>
    <row r="253" spans="4:5" x14ac:dyDescent="0.25">
      <c r="D253" s="210"/>
      <c r="E253" s="210"/>
    </row>
    <row r="254" spans="4:5" x14ac:dyDescent="0.25">
      <c r="D254" s="210"/>
      <c r="E254" s="210"/>
    </row>
    <row r="255" spans="4:5" x14ac:dyDescent="0.25">
      <c r="D255" s="210"/>
      <c r="E255" s="210"/>
    </row>
    <row r="256" spans="4:5" x14ac:dyDescent="0.25">
      <c r="D256" s="210"/>
      <c r="E256" s="210"/>
    </row>
    <row r="257" spans="4:5" x14ac:dyDescent="0.25">
      <c r="D257" s="210"/>
      <c r="E257" s="210"/>
    </row>
    <row r="258" spans="4:5" x14ac:dyDescent="0.25">
      <c r="D258" s="210"/>
      <c r="E258" s="210"/>
    </row>
    <row r="259" spans="4:5" x14ac:dyDescent="0.25">
      <c r="D259" s="210"/>
      <c r="E259" s="210"/>
    </row>
    <row r="260" spans="4:5" x14ac:dyDescent="0.25">
      <c r="D260" s="210"/>
      <c r="E260" s="210"/>
    </row>
    <row r="261" spans="4:5" x14ac:dyDescent="0.25">
      <c r="D261" s="210"/>
      <c r="E261" s="210"/>
    </row>
    <row r="262" spans="4:5" x14ac:dyDescent="0.25">
      <c r="D262" s="210"/>
      <c r="E262" s="210"/>
    </row>
    <row r="263" spans="4:5" x14ac:dyDescent="0.25">
      <c r="D263" s="210"/>
      <c r="E263" s="210"/>
    </row>
    <row r="264" spans="4:5" x14ac:dyDescent="0.25">
      <c r="D264" s="210"/>
      <c r="E264" s="210"/>
    </row>
    <row r="265" spans="4:5" x14ac:dyDescent="0.25">
      <c r="D265" s="210"/>
      <c r="E265" s="210"/>
    </row>
    <row r="266" spans="4:5" x14ac:dyDescent="0.25">
      <c r="D266" s="210"/>
      <c r="E266" s="210"/>
    </row>
    <row r="267" spans="4:5" x14ac:dyDescent="0.25">
      <c r="D267" s="210"/>
      <c r="E267" s="210"/>
    </row>
    <row r="268" spans="4:5" x14ac:dyDescent="0.25">
      <c r="D268" s="210"/>
      <c r="E268" s="210"/>
    </row>
    <row r="269" spans="4:5" x14ac:dyDescent="0.25">
      <c r="D269" s="210"/>
      <c r="E269" s="210"/>
    </row>
    <row r="270" spans="4:5" x14ac:dyDescent="0.25">
      <c r="D270" s="210"/>
      <c r="E270" s="210"/>
    </row>
    <row r="271" spans="4:5" x14ac:dyDescent="0.25">
      <c r="D271" s="210"/>
      <c r="E271" s="210"/>
    </row>
    <row r="272" spans="4:5" x14ac:dyDescent="0.25">
      <c r="D272" s="210"/>
      <c r="E272" s="210"/>
    </row>
    <row r="273" spans="4:5" x14ac:dyDescent="0.25">
      <c r="D273" s="210"/>
      <c r="E273" s="210"/>
    </row>
    <row r="274" spans="4:5" x14ac:dyDescent="0.25">
      <c r="D274" s="210"/>
      <c r="E274" s="210"/>
    </row>
  </sheetData>
  <mergeCells count="2">
    <mergeCell ref="A1:E1"/>
    <mergeCell ref="A225:C225"/>
  </mergeCells>
  <phoneticPr fontId="22" type="noConversion"/>
  <printOptions horizontalCentered="1"/>
  <pageMargins left="0.25" right="0.25" top="1.25" bottom="0.5" header="0.3" footer="0.3"/>
  <pageSetup orientation="portrait" r:id="rId1"/>
  <headerFooter alignWithMargins="0">
    <oddHeader xml:space="preserve">&amp;C&amp;"Arial,Bold"&amp;12DEPARTMENT OF CORRECTIONS
 2025 COST OF CARE 
(Based on FY2024 Actuals) </oddHeader>
    <oddFooter>&amp;L&amp;8&amp;F &amp;A&amp;R&amp;8&amp;D &amp;T</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59999389629810485"/>
  </sheetPr>
  <dimension ref="A1:G27"/>
  <sheetViews>
    <sheetView showGridLines="0" workbookViewId="0">
      <pane xSplit="1" ySplit="2" topLeftCell="B3" activePane="bottomRight" state="frozen"/>
      <selection activeCell="B35" sqref="B35"/>
      <selection pane="topRight" activeCell="B35" sqref="B35"/>
      <selection pane="bottomLeft" activeCell="B35" sqref="B35"/>
      <selection pane="bottomRight" activeCell="A26" sqref="A26"/>
    </sheetView>
  </sheetViews>
  <sheetFormatPr defaultColWidth="9.140625" defaultRowHeight="12.75" x14ac:dyDescent="0.2"/>
  <cols>
    <col min="1" max="1" width="27" style="101" customWidth="1"/>
    <col min="2" max="2" width="31.42578125" style="101" bestFit="1" customWidth="1"/>
    <col min="3" max="3" width="13" style="101" customWidth="1"/>
    <col min="4" max="4" width="18.85546875" style="101" bestFit="1" customWidth="1"/>
    <col min="5" max="5" width="10.7109375" style="163" customWidth="1"/>
    <col min="6" max="6" width="14.5703125" style="101" customWidth="1"/>
    <col min="7" max="7" width="13.5703125" style="101" customWidth="1"/>
    <col min="8" max="16384" width="9.140625" style="101"/>
  </cols>
  <sheetData>
    <row r="1" spans="1:7" ht="31.5" customHeight="1" thickBot="1" x14ac:dyDescent="0.25">
      <c r="A1" s="958" t="s">
        <v>102</v>
      </c>
      <c r="B1" s="958"/>
      <c r="C1" s="958"/>
      <c r="D1" s="958"/>
    </row>
    <row r="2" spans="1:7" ht="33" thickTop="1" thickBot="1" x14ac:dyDescent="0.3">
      <c r="A2" s="230" t="s">
        <v>30</v>
      </c>
      <c r="B2" s="231" t="s">
        <v>31</v>
      </c>
      <c r="C2" s="231" t="s">
        <v>32</v>
      </c>
      <c r="D2" s="232" t="s">
        <v>658</v>
      </c>
      <c r="E2" s="434" t="s">
        <v>439</v>
      </c>
      <c r="F2" s="212"/>
    </row>
    <row r="3" spans="1:7" ht="16.5" thickTop="1" x14ac:dyDescent="0.25">
      <c r="A3" s="173" t="s">
        <v>33</v>
      </c>
      <c r="B3" s="169" t="s">
        <v>34</v>
      </c>
      <c r="C3" s="156">
        <f>22+6+6</f>
        <v>34</v>
      </c>
      <c r="D3" s="105">
        <v>22334367.41</v>
      </c>
      <c r="E3" s="163">
        <v>3041</v>
      </c>
      <c r="F3" s="130"/>
    </row>
    <row r="4" spans="1:7" ht="15.75" x14ac:dyDescent="0.25">
      <c r="A4" s="103"/>
      <c r="B4" s="169" t="s">
        <v>35</v>
      </c>
      <c r="C4" s="156"/>
      <c r="D4" s="105"/>
    </row>
    <row r="5" spans="1:7" ht="15.75" x14ac:dyDescent="0.25">
      <c r="A5" s="103"/>
      <c r="B5" s="169" t="s">
        <v>36</v>
      </c>
      <c r="C5" s="156" t="s">
        <v>96</v>
      </c>
      <c r="D5" s="213"/>
    </row>
    <row r="6" spans="1:7" ht="15.75" x14ac:dyDescent="0.25">
      <c r="A6" s="103"/>
      <c r="B6" s="169" t="s">
        <v>35</v>
      </c>
      <c r="C6" s="156"/>
      <c r="D6" s="105"/>
    </row>
    <row r="7" spans="1:7" ht="15.75" x14ac:dyDescent="0.25">
      <c r="A7" s="103"/>
      <c r="B7" s="169" t="s">
        <v>0</v>
      </c>
      <c r="C7" s="156"/>
      <c r="D7" s="105"/>
    </row>
    <row r="8" spans="1:7" ht="15.75" x14ac:dyDescent="0.25">
      <c r="A8" s="173" t="s">
        <v>37</v>
      </c>
      <c r="B8" s="169" t="s">
        <v>38</v>
      </c>
      <c r="C8" s="156">
        <f>5</f>
        <v>5</v>
      </c>
      <c r="D8" s="105">
        <v>442129.12</v>
      </c>
      <c r="E8" s="163">
        <v>3042</v>
      </c>
      <c r="F8" s="130"/>
    </row>
    <row r="9" spans="1:7" ht="15.75" x14ac:dyDescent="0.25">
      <c r="A9" s="103"/>
      <c r="B9" s="169" t="s">
        <v>39</v>
      </c>
      <c r="C9" s="156"/>
      <c r="D9" s="105"/>
    </row>
    <row r="10" spans="1:7" ht="15.75" x14ac:dyDescent="0.25">
      <c r="A10" s="103" t="s">
        <v>0</v>
      </c>
      <c r="B10" s="169" t="s">
        <v>103</v>
      </c>
      <c r="C10" s="156" t="s">
        <v>96</v>
      </c>
      <c r="D10" s="105"/>
    </row>
    <row r="11" spans="1:7" ht="15.75" x14ac:dyDescent="0.25">
      <c r="A11" s="103"/>
      <c r="B11" s="169" t="s">
        <v>39</v>
      </c>
      <c r="C11" s="156"/>
      <c r="D11" s="105"/>
    </row>
    <row r="12" spans="1:7" ht="15.75" x14ac:dyDescent="0.25">
      <c r="A12" s="103"/>
      <c r="B12" s="169" t="s">
        <v>0</v>
      </c>
      <c r="C12" s="156"/>
      <c r="D12" s="105"/>
    </row>
    <row r="13" spans="1:7" ht="15.75" x14ac:dyDescent="0.25">
      <c r="A13" s="173" t="s">
        <v>40</v>
      </c>
      <c r="B13" s="169" t="s">
        <v>34</v>
      </c>
      <c r="C13" s="156">
        <f>8+14+9</f>
        <v>31</v>
      </c>
      <c r="D13" s="214">
        <f>4312088.74+1478523.88+173758</f>
        <v>5964370.6200000001</v>
      </c>
      <c r="E13" s="163">
        <v>3040</v>
      </c>
      <c r="F13" s="215" t="s">
        <v>534</v>
      </c>
      <c r="G13" s="101" t="s">
        <v>968</v>
      </c>
    </row>
    <row r="14" spans="1:7" ht="15.75" x14ac:dyDescent="0.25">
      <c r="A14" s="103"/>
      <c r="B14" s="169" t="s">
        <v>41</v>
      </c>
      <c r="C14" s="156"/>
      <c r="D14" s="105"/>
      <c r="G14" s="212">
        <v>173758</v>
      </c>
    </row>
    <row r="15" spans="1:7" ht="15.75" x14ac:dyDescent="0.25">
      <c r="A15" s="103"/>
      <c r="B15" s="169" t="s">
        <v>42</v>
      </c>
      <c r="C15" s="156"/>
      <c r="D15" s="105"/>
    </row>
    <row r="16" spans="1:7" ht="15.75" x14ac:dyDescent="0.25">
      <c r="A16" s="103"/>
      <c r="B16" s="169" t="s">
        <v>0</v>
      </c>
      <c r="C16" s="156"/>
      <c r="D16" s="105"/>
      <c r="F16" s="130"/>
    </row>
    <row r="17" spans="1:6" ht="15.75" x14ac:dyDescent="0.25">
      <c r="A17" s="173" t="s">
        <v>43</v>
      </c>
      <c r="B17" s="169" t="s">
        <v>38</v>
      </c>
      <c r="C17" s="156">
        <f>1+6</f>
        <v>7</v>
      </c>
      <c r="D17" s="105">
        <f>8103262.52-4312088.74-1478523.88</f>
        <v>2312649.8999999994</v>
      </c>
      <c r="E17" s="163">
        <v>3040</v>
      </c>
      <c r="F17" s="130"/>
    </row>
    <row r="18" spans="1:6" ht="15.75" x14ac:dyDescent="0.25">
      <c r="A18" s="173" t="s">
        <v>44</v>
      </c>
      <c r="B18" s="169" t="s">
        <v>45</v>
      </c>
      <c r="C18" s="156"/>
      <c r="D18" s="105"/>
      <c r="F18" s="130"/>
    </row>
    <row r="19" spans="1:6" ht="15.75" x14ac:dyDescent="0.25">
      <c r="A19" s="103"/>
      <c r="B19" s="169" t="s">
        <v>46</v>
      </c>
      <c r="C19" s="156"/>
      <c r="D19" s="105"/>
    </row>
    <row r="20" spans="1:6" ht="15.75" x14ac:dyDescent="0.25">
      <c r="A20" s="112"/>
      <c r="B20" s="169" t="s">
        <v>103</v>
      </c>
      <c r="C20" s="216"/>
      <c r="D20" s="217"/>
    </row>
    <row r="21" spans="1:6" ht="15.75" x14ac:dyDescent="0.25">
      <c r="A21" s="112"/>
      <c r="B21" s="169" t="s">
        <v>45</v>
      </c>
      <c r="C21" s="216"/>
      <c r="D21" s="218"/>
    </row>
    <row r="22" spans="1:6" ht="15.75" x14ac:dyDescent="0.25">
      <c r="A22" s="112"/>
      <c r="B22" s="169" t="s">
        <v>46</v>
      </c>
      <c r="C22" s="216"/>
      <c r="D22" s="218"/>
    </row>
    <row r="23" spans="1:6" ht="16.5" thickBot="1" x14ac:dyDescent="0.3">
      <c r="A23" s="199"/>
      <c r="B23" s="170"/>
      <c r="C23" s="219"/>
      <c r="D23" s="220"/>
    </row>
    <row r="24" spans="1:6" ht="16.5" thickBot="1" x14ac:dyDescent="0.3">
      <c r="A24" s="222" t="s">
        <v>47</v>
      </c>
      <c r="B24" s="223" t="s">
        <v>0</v>
      </c>
      <c r="C24" s="866">
        <f>SUM(C3:C23)</f>
        <v>77</v>
      </c>
      <c r="D24" s="867">
        <f>SUM(D3:D23)</f>
        <v>31053517.050000001</v>
      </c>
      <c r="E24" s="163" t="s">
        <v>739</v>
      </c>
      <c r="F24" s="130"/>
    </row>
    <row r="25" spans="1:6" ht="13.5" thickTop="1" x14ac:dyDescent="0.2">
      <c r="A25" s="221"/>
    </row>
    <row r="26" spans="1:6" x14ac:dyDescent="0.2">
      <c r="A26" s="236" t="s">
        <v>969</v>
      </c>
    </row>
    <row r="27" spans="1:6" x14ac:dyDescent="0.2">
      <c r="A27" s="101" t="s">
        <v>0</v>
      </c>
    </row>
  </sheetData>
  <mergeCells count="1">
    <mergeCell ref="A1:D1"/>
  </mergeCells>
  <phoneticPr fontId="22" type="noConversion"/>
  <printOptions horizontalCentered="1"/>
  <pageMargins left="0.75" right="0.75" top="1.25" bottom="1" header="0.33" footer="0.5"/>
  <pageSetup orientation="portrait" r:id="rId1"/>
  <headerFooter alignWithMargins="0">
    <oddHeader>&amp;C&amp;"Arial,Bold"&amp;12DEPARTMENT OF CORRECTIONS
 2025 COST OF CARE 
(Based on FY2024 Actuals)</oddHeader>
    <oddFooter>&amp;L&amp;8&amp;F &amp;A&amp;R&amp;8&amp;D &amp;T</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59999389629810485"/>
    <pageSetUpPr fitToPage="1"/>
  </sheetPr>
  <dimension ref="A1:L716"/>
  <sheetViews>
    <sheetView showGridLines="0" zoomScaleNormal="100" workbookViewId="0">
      <pane ySplit="2" topLeftCell="A702" activePane="bottomLeft" state="frozen"/>
      <selection pane="bottomLeft" activeCell="F715" sqref="F715"/>
    </sheetView>
  </sheetViews>
  <sheetFormatPr defaultColWidth="9.140625" defaultRowHeight="12.75" x14ac:dyDescent="0.2"/>
  <cols>
    <col min="1" max="1" width="24.85546875" style="477" customWidth="1"/>
    <col min="2" max="2" width="5.7109375" style="477" customWidth="1"/>
    <col min="3" max="3" width="25.42578125" style="477" bestFit="1" customWidth="1"/>
    <col min="4" max="4" width="15.42578125" style="512" customWidth="1"/>
    <col min="5" max="5" width="15.28515625" style="512" customWidth="1"/>
    <col min="6" max="6" width="19.5703125" style="512" customWidth="1"/>
    <col min="7" max="7" width="11.28515625" style="477" customWidth="1"/>
    <col min="8" max="8" width="16.7109375" style="477" customWidth="1"/>
    <col min="9" max="9" width="11.7109375" style="477" customWidth="1"/>
    <col min="10" max="10" width="9.140625" style="477"/>
    <col min="11" max="11" width="14.5703125" style="477" customWidth="1"/>
    <col min="12" max="12" width="14.5703125" style="477" bestFit="1" customWidth="1"/>
    <col min="13" max="16384" width="9.140625" style="477"/>
  </cols>
  <sheetData>
    <row r="1" spans="1:8" ht="33" customHeight="1" thickBot="1" x14ac:dyDescent="0.25">
      <c r="A1" s="963" t="s">
        <v>104</v>
      </c>
      <c r="B1" s="963"/>
      <c r="C1" s="963"/>
      <c r="D1" s="963"/>
      <c r="E1" s="963"/>
      <c r="F1" s="963"/>
    </row>
    <row r="2" spans="1:8" ht="15" customHeight="1" thickTop="1" thickBot="1" x14ac:dyDescent="0.25">
      <c r="A2" s="478" t="s">
        <v>1</v>
      </c>
      <c r="B2" s="959" t="s">
        <v>48</v>
      </c>
      <c r="C2" s="960"/>
      <c r="D2" s="961" t="s">
        <v>4</v>
      </c>
      <c r="E2" s="962"/>
      <c r="F2" s="479" t="s">
        <v>26</v>
      </c>
      <c r="G2" s="480" t="s">
        <v>439</v>
      </c>
      <c r="H2" s="481" t="s">
        <v>531</v>
      </c>
    </row>
    <row r="3" spans="1:8" ht="12.75" customHeight="1" thickTop="1" x14ac:dyDescent="0.2">
      <c r="A3" s="482" t="s">
        <v>239</v>
      </c>
      <c r="B3" s="611" t="s">
        <v>652</v>
      </c>
      <c r="C3" s="483"/>
      <c r="D3" s="600">
        <f>28994.06+12694.06</f>
        <v>41688.120000000003</v>
      </c>
      <c r="E3" s="600">
        <f>D3</f>
        <v>41688.120000000003</v>
      </c>
      <c r="F3" s="485"/>
      <c r="G3" s="612" t="s">
        <v>800</v>
      </c>
    </row>
    <row r="4" spans="1:8" ht="12.75" customHeight="1" x14ac:dyDescent="0.2">
      <c r="A4" s="389"/>
      <c r="B4" s="514" t="s">
        <v>440</v>
      </c>
      <c r="C4" s="486"/>
      <c r="D4" s="487"/>
      <c r="E4" s="518">
        <f>SUM(D4:D38)</f>
        <v>2530001.84</v>
      </c>
      <c r="F4" s="487"/>
    </row>
    <row r="5" spans="1:8" ht="12.75" customHeight="1" x14ac:dyDescent="0.2">
      <c r="A5" s="389"/>
      <c r="B5" s="516" t="s">
        <v>441</v>
      </c>
      <c r="C5" s="486"/>
      <c r="D5" s="487">
        <v>10151</v>
      </c>
      <c r="E5" s="487"/>
      <c r="F5" s="487"/>
      <c r="G5" s="517" t="s">
        <v>468</v>
      </c>
    </row>
    <row r="6" spans="1:8" ht="12.75" customHeight="1" x14ac:dyDescent="0.2">
      <c r="A6" s="389"/>
      <c r="B6" s="516" t="s">
        <v>442</v>
      </c>
      <c r="C6" s="486"/>
      <c r="D6" s="487">
        <v>2951.99</v>
      </c>
      <c r="E6" s="487"/>
      <c r="F6" s="487"/>
      <c r="G6" s="517" t="s">
        <v>469</v>
      </c>
    </row>
    <row r="7" spans="1:8" ht="12.75" customHeight="1" x14ac:dyDescent="0.2">
      <c r="A7" s="389"/>
      <c r="B7" s="516" t="s">
        <v>766</v>
      </c>
      <c r="C7" s="486"/>
      <c r="D7" s="487">
        <v>6615</v>
      </c>
      <c r="E7" s="487"/>
      <c r="F7" s="487"/>
      <c r="G7" s="517">
        <v>3005</v>
      </c>
    </row>
    <row r="8" spans="1:8" ht="12.75" customHeight="1" x14ac:dyDescent="0.2">
      <c r="A8" s="389"/>
      <c r="B8" s="516" t="s">
        <v>443</v>
      </c>
      <c r="C8" s="486"/>
      <c r="D8" s="487">
        <v>700.16</v>
      </c>
      <c r="E8" s="487"/>
      <c r="F8" s="487"/>
      <c r="G8" s="517" t="s">
        <v>470</v>
      </c>
    </row>
    <row r="9" spans="1:8" ht="12.75" customHeight="1" x14ac:dyDescent="0.2">
      <c r="A9" s="389"/>
      <c r="B9" s="516" t="s">
        <v>444</v>
      </c>
      <c r="C9" s="486"/>
      <c r="D9" s="487">
        <v>0</v>
      </c>
      <c r="E9" s="487"/>
      <c r="F9" s="487"/>
      <c r="G9" s="517" t="s">
        <v>471</v>
      </c>
    </row>
    <row r="10" spans="1:8" ht="12.75" customHeight="1" x14ac:dyDescent="0.2">
      <c r="A10" s="389"/>
      <c r="B10" s="516" t="s">
        <v>445</v>
      </c>
      <c r="C10" s="486"/>
      <c r="D10" s="487"/>
      <c r="E10" s="487"/>
      <c r="F10" s="487"/>
      <c r="G10" s="517" t="s">
        <v>472</v>
      </c>
    </row>
    <row r="11" spans="1:8" ht="12.75" customHeight="1" x14ac:dyDescent="0.2">
      <c r="A11" s="389"/>
      <c r="B11" s="525" t="s">
        <v>50</v>
      </c>
      <c r="C11" s="486"/>
      <c r="D11" s="487">
        <v>1418941.82</v>
      </c>
      <c r="E11" s="487"/>
      <c r="F11" s="487"/>
      <c r="G11" s="517">
        <v>2100</v>
      </c>
      <c r="H11" s="430" t="s">
        <v>657</v>
      </c>
    </row>
    <row r="12" spans="1:8" ht="12.75" customHeight="1" x14ac:dyDescent="0.2">
      <c r="A12" s="389"/>
      <c r="B12" s="516" t="s">
        <v>446</v>
      </c>
      <c r="C12" s="486"/>
      <c r="D12" s="487">
        <v>917.79</v>
      </c>
      <c r="E12" s="487"/>
      <c r="F12" s="487"/>
      <c r="G12" s="517" t="s">
        <v>473</v>
      </c>
    </row>
    <row r="13" spans="1:8" ht="12.75" customHeight="1" x14ac:dyDescent="0.2">
      <c r="A13" s="389"/>
      <c r="B13" s="516" t="s">
        <v>447</v>
      </c>
      <c r="C13" s="486"/>
      <c r="D13" s="487">
        <v>1008</v>
      </c>
      <c r="E13" s="487"/>
      <c r="F13" s="487"/>
      <c r="G13" s="517" t="s">
        <v>474</v>
      </c>
    </row>
    <row r="14" spans="1:8" ht="12.75" customHeight="1" x14ac:dyDescent="0.2">
      <c r="A14" s="389"/>
      <c r="B14" s="486" t="s">
        <v>497</v>
      </c>
      <c r="D14" s="487">
        <v>3517.12</v>
      </c>
      <c r="E14" s="487"/>
      <c r="F14" s="487"/>
      <c r="G14" s="517">
        <v>3034</v>
      </c>
    </row>
    <row r="15" spans="1:8" ht="12.75" customHeight="1" x14ac:dyDescent="0.2">
      <c r="A15" s="389"/>
      <c r="B15" s="516" t="s">
        <v>448</v>
      </c>
      <c r="C15" s="486"/>
      <c r="D15" s="487">
        <v>953.91</v>
      </c>
      <c r="E15" s="487"/>
      <c r="F15" s="487"/>
      <c r="G15" s="517" t="s">
        <v>475</v>
      </c>
    </row>
    <row r="16" spans="1:8" ht="12.75" customHeight="1" x14ac:dyDescent="0.2">
      <c r="A16" s="389"/>
      <c r="B16" s="516" t="s">
        <v>449</v>
      </c>
      <c r="C16" s="486"/>
      <c r="D16" s="487">
        <v>14196.69</v>
      </c>
      <c r="E16" s="487"/>
      <c r="F16" s="487"/>
      <c r="G16" s="517" t="s">
        <v>476</v>
      </c>
    </row>
    <row r="17" spans="1:7" ht="12.75" customHeight="1" x14ac:dyDescent="0.2">
      <c r="A17" s="389"/>
      <c r="B17" s="516" t="s">
        <v>450</v>
      </c>
      <c r="C17" s="486"/>
      <c r="D17" s="487">
        <v>9984</v>
      </c>
      <c r="E17" s="487"/>
      <c r="F17" s="487"/>
      <c r="G17" s="517" t="s">
        <v>477</v>
      </c>
    </row>
    <row r="18" spans="1:7" ht="12.75" customHeight="1" x14ac:dyDescent="0.2">
      <c r="A18" s="389"/>
      <c r="B18" s="516" t="s">
        <v>451</v>
      </c>
      <c r="C18" s="486"/>
      <c r="D18" s="487">
        <v>365.76</v>
      </c>
      <c r="E18" s="487"/>
      <c r="F18" s="487"/>
      <c r="G18" s="517" t="s">
        <v>478</v>
      </c>
    </row>
    <row r="19" spans="1:7" ht="12.75" customHeight="1" x14ac:dyDescent="0.2">
      <c r="A19" s="389"/>
      <c r="B19" s="516" t="s">
        <v>452</v>
      </c>
      <c r="C19" s="486"/>
      <c r="D19" s="487">
        <v>0</v>
      </c>
      <c r="E19" s="487"/>
      <c r="F19" s="487"/>
      <c r="G19" s="517" t="s">
        <v>479</v>
      </c>
    </row>
    <row r="20" spans="1:7" ht="12.75" customHeight="1" x14ac:dyDescent="0.2">
      <c r="A20" s="389"/>
      <c r="B20" s="516" t="s">
        <v>453</v>
      </c>
      <c r="C20" s="486"/>
      <c r="D20" s="487">
        <v>249.37</v>
      </c>
      <c r="E20" s="487"/>
      <c r="F20" s="487"/>
      <c r="G20" s="517" t="s">
        <v>480</v>
      </c>
    </row>
    <row r="21" spans="1:7" ht="12.75" customHeight="1" x14ac:dyDescent="0.2">
      <c r="A21" s="389"/>
      <c r="B21" s="516" t="s">
        <v>454</v>
      </c>
      <c r="C21" s="486"/>
      <c r="D21" s="487">
        <v>3161.73</v>
      </c>
      <c r="E21" s="487"/>
      <c r="F21" s="487"/>
      <c r="G21" s="517" t="s">
        <v>481</v>
      </c>
    </row>
    <row r="22" spans="1:7" ht="12.75" customHeight="1" x14ac:dyDescent="0.2">
      <c r="A22" s="389"/>
      <c r="B22" s="516" t="s">
        <v>455</v>
      </c>
      <c r="C22" s="486"/>
      <c r="D22" s="487">
        <v>4171.18</v>
      </c>
      <c r="E22" s="487"/>
      <c r="F22" s="487"/>
      <c r="G22" s="517" t="s">
        <v>482</v>
      </c>
    </row>
    <row r="23" spans="1:7" ht="12.75" customHeight="1" x14ac:dyDescent="0.2">
      <c r="A23" s="389"/>
      <c r="B23" s="516" t="s">
        <v>456</v>
      </c>
      <c r="C23" s="486"/>
      <c r="D23" s="487">
        <v>39795.93</v>
      </c>
      <c r="E23" s="487"/>
      <c r="F23" s="487"/>
      <c r="G23" s="517" t="s">
        <v>483</v>
      </c>
    </row>
    <row r="24" spans="1:7" ht="12.75" customHeight="1" x14ac:dyDescent="0.2">
      <c r="A24" s="389"/>
      <c r="B24" s="516" t="s">
        <v>457</v>
      </c>
      <c r="C24" s="486"/>
      <c r="D24" s="487">
        <v>42968.72</v>
      </c>
      <c r="E24" s="487"/>
      <c r="F24" s="487"/>
      <c r="G24" s="517" t="s">
        <v>484</v>
      </c>
    </row>
    <row r="25" spans="1:7" ht="12.75" customHeight="1" x14ac:dyDescent="0.2">
      <c r="A25" s="389"/>
      <c r="B25" s="516" t="s">
        <v>458</v>
      </c>
      <c r="C25" s="486"/>
      <c r="D25" s="487">
        <v>10201.94</v>
      </c>
      <c r="E25" s="487"/>
      <c r="F25" s="487"/>
      <c r="G25" s="517" t="s">
        <v>485</v>
      </c>
    </row>
    <row r="26" spans="1:7" ht="12.75" customHeight="1" x14ac:dyDescent="0.2">
      <c r="A26" s="389"/>
      <c r="B26" s="516" t="s">
        <v>501</v>
      </c>
      <c r="C26" s="486"/>
      <c r="D26" s="487">
        <v>0</v>
      </c>
      <c r="E26" s="487"/>
      <c r="F26" s="487"/>
      <c r="G26" s="517">
        <v>3051</v>
      </c>
    </row>
    <row r="27" spans="1:7" ht="12.75" customHeight="1" x14ac:dyDescent="0.2">
      <c r="A27" s="389"/>
      <c r="B27" s="516" t="s">
        <v>459</v>
      </c>
      <c r="C27" s="486"/>
      <c r="D27" s="487">
        <v>28604</v>
      </c>
      <c r="E27" s="487"/>
      <c r="F27" s="487"/>
      <c r="G27" s="517" t="s">
        <v>486</v>
      </c>
    </row>
    <row r="28" spans="1:7" ht="12.75" customHeight="1" x14ac:dyDescent="0.2">
      <c r="A28" s="389"/>
      <c r="B28" s="516" t="s">
        <v>502</v>
      </c>
      <c r="C28" s="486"/>
      <c r="D28" s="487">
        <v>157865.45000000001</v>
      </c>
      <c r="E28" s="487"/>
      <c r="F28" s="487"/>
      <c r="G28" s="517">
        <v>3056</v>
      </c>
    </row>
    <row r="29" spans="1:7" ht="12.75" customHeight="1" x14ac:dyDescent="0.2">
      <c r="A29" s="389"/>
      <c r="B29" s="516" t="s">
        <v>460</v>
      </c>
      <c r="C29" s="486"/>
      <c r="D29" s="487">
        <v>32</v>
      </c>
      <c r="E29" s="487"/>
      <c r="F29" s="487"/>
      <c r="G29" s="517" t="s">
        <v>487</v>
      </c>
    </row>
    <row r="30" spans="1:7" ht="12.75" customHeight="1" x14ac:dyDescent="0.2">
      <c r="A30" s="389"/>
      <c r="B30" s="516" t="s">
        <v>461</v>
      </c>
      <c r="C30" s="486"/>
      <c r="D30" s="487">
        <v>178745.57</v>
      </c>
      <c r="E30" s="487"/>
      <c r="F30" s="487"/>
      <c r="G30" s="517" t="s">
        <v>488</v>
      </c>
    </row>
    <row r="31" spans="1:7" ht="12.75" customHeight="1" x14ac:dyDescent="0.2">
      <c r="A31" s="389"/>
      <c r="B31" s="516" t="s">
        <v>462</v>
      </c>
      <c r="C31" s="486"/>
      <c r="D31" s="487">
        <v>3331.01</v>
      </c>
      <c r="E31" s="487"/>
      <c r="F31" s="487"/>
      <c r="G31" s="517" t="s">
        <v>489</v>
      </c>
    </row>
    <row r="32" spans="1:7" ht="12.75" customHeight="1" x14ac:dyDescent="0.2">
      <c r="A32" s="389"/>
      <c r="B32" s="516" t="s">
        <v>508</v>
      </c>
      <c r="C32" s="486"/>
      <c r="D32" s="487">
        <v>331493.12</v>
      </c>
      <c r="E32" s="487"/>
      <c r="F32" s="487"/>
      <c r="G32" s="517">
        <v>3063</v>
      </c>
    </row>
    <row r="33" spans="1:8" ht="12.75" customHeight="1" x14ac:dyDescent="0.2">
      <c r="A33" s="389"/>
      <c r="B33" s="516" t="s">
        <v>463</v>
      </c>
      <c r="C33" s="486"/>
      <c r="D33" s="487">
        <v>167.08</v>
      </c>
      <c r="E33" s="487"/>
      <c r="F33" s="487"/>
      <c r="G33" s="517" t="s">
        <v>490</v>
      </c>
    </row>
    <row r="34" spans="1:8" ht="12.75" customHeight="1" x14ac:dyDescent="0.2">
      <c r="A34" s="389"/>
      <c r="B34" s="516" t="s">
        <v>464</v>
      </c>
      <c r="C34" s="486"/>
      <c r="D34" s="487">
        <v>45</v>
      </c>
      <c r="E34" s="487"/>
      <c r="F34" s="487"/>
      <c r="G34" s="517" t="s">
        <v>491</v>
      </c>
    </row>
    <row r="35" spans="1:8" ht="12.75" customHeight="1" x14ac:dyDescent="0.2">
      <c r="A35" s="389"/>
      <c r="B35" s="516" t="s">
        <v>465</v>
      </c>
      <c r="C35" s="486"/>
      <c r="D35" s="487">
        <v>258750.7</v>
      </c>
      <c r="E35" s="487"/>
      <c r="F35" s="487"/>
      <c r="G35" s="517" t="s">
        <v>492</v>
      </c>
      <c r="H35" s="489"/>
    </row>
    <row r="36" spans="1:8" ht="12.75" customHeight="1" x14ac:dyDescent="0.2">
      <c r="A36" s="389"/>
      <c r="B36" s="516" t="s">
        <v>466</v>
      </c>
      <c r="C36" s="486"/>
      <c r="D36" s="487">
        <v>59.5</v>
      </c>
      <c r="E36" s="487"/>
      <c r="F36" s="487"/>
      <c r="G36" s="517" t="s">
        <v>493</v>
      </c>
    </row>
    <row r="37" spans="1:8" ht="12.75" customHeight="1" x14ac:dyDescent="0.2">
      <c r="A37" s="389"/>
      <c r="B37" s="516" t="s">
        <v>467</v>
      </c>
      <c r="C37" s="486"/>
      <c r="D37" s="487">
        <v>56.3</v>
      </c>
      <c r="E37" s="487"/>
      <c r="F37" s="487"/>
      <c r="G37" s="517" t="s">
        <v>494</v>
      </c>
      <c r="H37" s="489"/>
    </row>
    <row r="38" spans="1:8" ht="12.75" customHeight="1" x14ac:dyDescent="0.2">
      <c r="A38" s="389"/>
      <c r="B38" s="520" t="s">
        <v>767</v>
      </c>
      <c r="C38" s="515"/>
      <c r="D38" s="487">
        <v>0</v>
      </c>
      <c r="E38" s="487"/>
      <c r="F38" s="487"/>
    </row>
    <row r="39" spans="1:8" ht="12.75" customHeight="1" x14ac:dyDescent="0.2">
      <c r="A39" s="389"/>
      <c r="B39" s="519" t="s">
        <v>248</v>
      </c>
      <c r="D39" s="487">
        <v>746785.76</v>
      </c>
      <c r="E39" s="518">
        <f>SUM(D39)</f>
        <v>746785.76</v>
      </c>
      <c r="F39" s="487"/>
      <c r="G39" s="477">
        <v>3001</v>
      </c>
      <c r="H39" s="489"/>
    </row>
    <row r="40" spans="1:8" ht="12.75" customHeight="1" x14ac:dyDescent="0.2">
      <c r="A40" s="389"/>
      <c r="B40" s="520" t="s">
        <v>345</v>
      </c>
      <c r="C40" s="491"/>
      <c r="D40" s="487"/>
      <c r="E40" s="518">
        <f>SUM(D41:D46)</f>
        <v>3850799.65</v>
      </c>
      <c r="F40" s="487"/>
    </row>
    <row r="41" spans="1:8" ht="12.75" customHeight="1" x14ac:dyDescent="0.2">
      <c r="A41" s="389"/>
      <c r="B41" s="488"/>
      <c r="C41" s="490" t="s">
        <v>249</v>
      </c>
      <c r="D41" s="487">
        <v>215493.45</v>
      </c>
      <c r="E41" s="487"/>
      <c r="F41" s="487"/>
      <c r="G41" s="477">
        <v>4000</v>
      </c>
    </row>
    <row r="42" spans="1:8" ht="12.75" customHeight="1" x14ac:dyDescent="0.2">
      <c r="A42" s="389"/>
      <c r="B42" s="488"/>
      <c r="C42" s="490" t="s">
        <v>250</v>
      </c>
      <c r="D42" s="487">
        <v>0</v>
      </c>
      <c r="E42" s="487"/>
      <c r="F42" s="487"/>
    </row>
    <row r="43" spans="1:8" ht="12.75" customHeight="1" x14ac:dyDescent="0.2">
      <c r="A43" s="389"/>
      <c r="B43" s="488"/>
      <c r="C43" s="490" t="s">
        <v>251</v>
      </c>
      <c r="D43" s="487">
        <v>3185452.53</v>
      </c>
      <c r="E43" s="487"/>
      <c r="F43" s="487"/>
      <c r="G43" s="477">
        <v>4002</v>
      </c>
    </row>
    <row r="44" spans="1:8" ht="12.75" customHeight="1" x14ac:dyDescent="0.2">
      <c r="A44" s="389"/>
      <c r="B44" s="488"/>
      <c r="C44" s="490" t="s">
        <v>252</v>
      </c>
      <c r="D44" s="487">
        <v>3478.37</v>
      </c>
      <c r="E44" s="487"/>
      <c r="F44" s="487"/>
      <c r="G44" s="477">
        <v>4003</v>
      </c>
    </row>
    <row r="45" spans="1:8" ht="12.75" customHeight="1" x14ac:dyDescent="0.2">
      <c r="A45" s="389"/>
      <c r="B45" s="488"/>
      <c r="C45" s="491" t="s">
        <v>253</v>
      </c>
      <c r="D45" s="487">
        <v>239592.36</v>
      </c>
      <c r="E45" s="487"/>
      <c r="F45" s="487"/>
      <c r="G45" s="477">
        <v>4004</v>
      </c>
    </row>
    <row r="46" spans="1:8" ht="12.75" customHeight="1" x14ac:dyDescent="0.2">
      <c r="A46" s="389"/>
      <c r="B46" s="488"/>
      <c r="C46" s="491" t="s">
        <v>114</v>
      </c>
      <c r="D46" s="487">
        <v>206782.94</v>
      </c>
      <c r="E46" s="487"/>
      <c r="F46" s="487"/>
      <c r="G46" s="477">
        <v>4005</v>
      </c>
    </row>
    <row r="47" spans="1:8" ht="12.75" customHeight="1" x14ac:dyDescent="0.2">
      <c r="A47" s="492"/>
      <c r="B47" s="520" t="s">
        <v>651</v>
      </c>
      <c r="C47" s="523"/>
      <c r="D47" s="487"/>
      <c r="E47" s="518">
        <f>SUM(D47)</f>
        <v>0</v>
      </c>
      <c r="F47" s="495"/>
      <c r="G47" s="477">
        <v>4970</v>
      </c>
    </row>
    <row r="48" spans="1:8" ht="12.75" customHeight="1" x14ac:dyDescent="0.2">
      <c r="A48" s="492"/>
      <c r="B48" s="522" t="s">
        <v>255</v>
      </c>
      <c r="D48" s="487">
        <v>1050</v>
      </c>
      <c r="E48" s="521">
        <f>D48</f>
        <v>1050</v>
      </c>
      <c r="F48" s="495"/>
      <c r="G48" s="477" t="s">
        <v>773</v>
      </c>
    </row>
    <row r="49" spans="1:9" ht="12.75" customHeight="1" thickBot="1" x14ac:dyDescent="0.25">
      <c r="A49" s="496"/>
      <c r="B49" s="497"/>
      <c r="C49" s="498"/>
      <c r="D49" s="499"/>
      <c r="E49" s="500"/>
      <c r="F49" s="889">
        <f>SUM(E3:E48)</f>
        <v>7170325.3699999992</v>
      </c>
      <c r="H49" s="501">
        <f>'Sched-B1'!B4+'Sched-B2'!E20+'Sched-D1'!F49-39523874.11-1418941.82</f>
        <v>0</v>
      </c>
    </row>
    <row r="50" spans="1:9" ht="12.75" customHeight="1" x14ac:dyDescent="0.2">
      <c r="A50" s="482" t="s">
        <v>496</v>
      </c>
      <c r="B50" s="611" t="s">
        <v>652</v>
      </c>
      <c r="C50" s="483"/>
      <c r="D50" s="484">
        <v>59678.87</v>
      </c>
      <c r="E50" s="600">
        <f>D50</f>
        <v>59678.87</v>
      </c>
      <c r="F50" s="485"/>
      <c r="G50" s="477">
        <v>2000</v>
      </c>
    </row>
    <row r="51" spans="1:9" ht="12.75" customHeight="1" x14ac:dyDescent="0.2">
      <c r="A51" s="389"/>
      <c r="B51" s="514" t="s">
        <v>440</v>
      </c>
      <c r="C51" s="486"/>
      <c r="D51" s="487"/>
      <c r="E51" s="518">
        <f>SUM(D51:D89)</f>
        <v>625238.97</v>
      </c>
      <c r="F51" s="487"/>
      <c r="H51" s="489">
        <f>E51</f>
        <v>625238.97</v>
      </c>
      <c r="I51" s="477" t="s">
        <v>838</v>
      </c>
    </row>
    <row r="52" spans="1:9" ht="12.75" customHeight="1" x14ac:dyDescent="0.2">
      <c r="A52" s="389"/>
      <c r="B52" s="525" t="s">
        <v>704</v>
      </c>
      <c r="C52" s="430"/>
      <c r="D52" s="716">
        <f>0</f>
        <v>0</v>
      </c>
      <c r="E52" s="487"/>
      <c r="F52" s="487"/>
      <c r="H52" s="489">
        <f>H51-E51</f>
        <v>0</v>
      </c>
      <c r="I52" s="477" t="s">
        <v>613</v>
      </c>
    </row>
    <row r="53" spans="1:9" ht="12.75" customHeight="1" x14ac:dyDescent="0.2">
      <c r="A53" s="389"/>
      <c r="B53" s="516" t="s">
        <v>441</v>
      </c>
      <c r="C53" s="486"/>
      <c r="D53" s="487">
        <v>15</v>
      </c>
      <c r="E53" s="487"/>
      <c r="F53" s="487"/>
      <c r="G53" s="517" t="s">
        <v>468</v>
      </c>
    </row>
    <row r="54" spans="1:9" ht="12.75" customHeight="1" x14ac:dyDescent="0.2">
      <c r="A54" s="389"/>
      <c r="B54" s="516" t="s">
        <v>442</v>
      </c>
      <c r="C54" s="486"/>
      <c r="D54" s="487">
        <v>251.41</v>
      </c>
      <c r="E54" s="487"/>
      <c r="F54" s="487"/>
      <c r="G54" s="517" t="s">
        <v>469</v>
      </c>
    </row>
    <row r="55" spans="1:9" ht="12.75" customHeight="1" x14ac:dyDescent="0.2">
      <c r="A55" s="389"/>
      <c r="B55" s="516" t="s">
        <v>839</v>
      </c>
      <c r="C55" s="486"/>
      <c r="D55" s="487">
        <v>30.66</v>
      </c>
      <c r="E55" s="487"/>
      <c r="F55" s="487"/>
      <c r="G55" s="517">
        <v>3004</v>
      </c>
    </row>
    <row r="56" spans="1:9" ht="12.75" customHeight="1" x14ac:dyDescent="0.2">
      <c r="A56" s="389"/>
      <c r="B56" s="516" t="s">
        <v>443</v>
      </c>
      <c r="C56" s="486"/>
      <c r="D56" s="487">
        <v>1342.75</v>
      </c>
      <c r="E56" s="487"/>
      <c r="F56" s="487"/>
      <c r="G56" s="517" t="s">
        <v>470</v>
      </c>
    </row>
    <row r="57" spans="1:9" ht="12.75" customHeight="1" x14ac:dyDescent="0.2">
      <c r="A57" s="389"/>
      <c r="B57" s="516" t="s">
        <v>511</v>
      </c>
      <c r="C57" s="486"/>
      <c r="D57" s="487">
        <v>278.33999999999997</v>
      </c>
      <c r="E57" s="487"/>
      <c r="F57" s="487"/>
      <c r="G57" s="517">
        <v>3014</v>
      </c>
    </row>
    <row r="58" spans="1:9" ht="12.75" customHeight="1" x14ac:dyDescent="0.2">
      <c r="A58" s="389"/>
      <c r="B58" s="516" t="s">
        <v>444</v>
      </c>
      <c r="C58" s="486"/>
      <c r="D58" s="487">
        <v>0</v>
      </c>
      <c r="E58" s="487"/>
      <c r="F58" s="487"/>
      <c r="G58" s="517" t="s">
        <v>471</v>
      </c>
    </row>
    <row r="59" spans="1:9" ht="12.75" customHeight="1" x14ac:dyDescent="0.2">
      <c r="A59" s="389"/>
      <c r="B59" s="516" t="s">
        <v>445</v>
      </c>
      <c r="C59" s="486"/>
      <c r="D59" s="487">
        <v>0</v>
      </c>
      <c r="E59" s="487"/>
      <c r="F59" s="487"/>
      <c r="G59" s="517" t="s">
        <v>472</v>
      </c>
    </row>
    <row r="60" spans="1:9" ht="12.75" customHeight="1" x14ac:dyDescent="0.2">
      <c r="A60" s="389"/>
      <c r="B60" s="525" t="s">
        <v>50</v>
      </c>
      <c r="C60" s="486"/>
      <c r="D60" s="487">
        <v>351284.68</v>
      </c>
      <c r="E60" s="487"/>
      <c r="F60" s="487"/>
      <c r="G60" s="517"/>
    </row>
    <row r="61" spans="1:9" ht="12.75" customHeight="1" x14ac:dyDescent="0.2">
      <c r="A61" s="389"/>
      <c r="B61" s="516" t="s">
        <v>446</v>
      </c>
      <c r="C61" s="486"/>
      <c r="D61" s="487">
        <v>917.78</v>
      </c>
      <c r="E61" s="487"/>
      <c r="F61" s="487"/>
      <c r="G61" s="517" t="s">
        <v>473</v>
      </c>
    </row>
    <row r="62" spans="1:9" ht="12.75" customHeight="1" x14ac:dyDescent="0.2">
      <c r="A62" s="389"/>
      <c r="B62" s="516" t="s">
        <v>447</v>
      </c>
      <c r="C62" s="486"/>
      <c r="D62" s="487">
        <v>504</v>
      </c>
      <c r="E62" s="487"/>
      <c r="F62" s="487"/>
      <c r="G62" s="517" t="s">
        <v>474</v>
      </c>
    </row>
    <row r="63" spans="1:9" ht="12.75" customHeight="1" x14ac:dyDescent="0.2">
      <c r="A63" s="389"/>
      <c r="B63" s="516" t="s">
        <v>497</v>
      </c>
      <c r="C63" s="486"/>
      <c r="D63" s="487">
        <v>0.39</v>
      </c>
      <c r="E63" s="487"/>
      <c r="F63" s="487"/>
      <c r="G63" s="517">
        <v>3034</v>
      </c>
    </row>
    <row r="64" spans="1:9" ht="12.75" customHeight="1" x14ac:dyDescent="0.2">
      <c r="A64" s="389"/>
      <c r="B64" s="516" t="s">
        <v>448</v>
      </c>
      <c r="C64" s="486"/>
      <c r="D64" s="487">
        <v>1.54</v>
      </c>
      <c r="E64" s="487"/>
      <c r="F64" s="487"/>
      <c r="G64" s="517" t="s">
        <v>475</v>
      </c>
    </row>
    <row r="65" spans="1:7" ht="12.75" customHeight="1" x14ac:dyDescent="0.2">
      <c r="A65" s="389"/>
      <c r="B65" s="516" t="s">
        <v>449</v>
      </c>
      <c r="C65" s="486"/>
      <c r="D65" s="487">
        <v>8466.33</v>
      </c>
      <c r="E65" s="487"/>
      <c r="F65" s="487"/>
      <c r="G65" s="517" t="s">
        <v>476</v>
      </c>
    </row>
    <row r="66" spans="1:7" ht="12.75" customHeight="1" x14ac:dyDescent="0.2">
      <c r="A66" s="389"/>
      <c r="B66" s="516" t="s">
        <v>450</v>
      </c>
      <c r="C66" s="486"/>
      <c r="D66" s="487">
        <v>0</v>
      </c>
      <c r="E66" s="487"/>
      <c r="F66" s="487"/>
      <c r="G66" s="517" t="s">
        <v>477</v>
      </c>
    </row>
    <row r="67" spans="1:7" ht="12.75" customHeight="1" x14ac:dyDescent="0.2">
      <c r="A67" s="389"/>
      <c r="B67" s="516" t="s">
        <v>451</v>
      </c>
      <c r="C67" s="486"/>
      <c r="D67" s="487">
        <v>0</v>
      </c>
      <c r="E67" s="487"/>
      <c r="F67" s="487"/>
      <c r="G67" s="517" t="s">
        <v>478</v>
      </c>
    </row>
    <row r="68" spans="1:7" ht="12.75" customHeight="1" x14ac:dyDescent="0.2">
      <c r="A68" s="389"/>
      <c r="B68" s="516" t="s">
        <v>514</v>
      </c>
      <c r="C68" s="486"/>
      <c r="D68" s="487">
        <v>0</v>
      </c>
      <c r="E68" s="487"/>
      <c r="F68" s="487"/>
      <c r="G68" s="517">
        <v>3039</v>
      </c>
    </row>
    <row r="69" spans="1:7" ht="12.75" customHeight="1" x14ac:dyDescent="0.2">
      <c r="A69" s="389"/>
      <c r="B69" s="516" t="s">
        <v>452</v>
      </c>
      <c r="C69" s="486"/>
      <c r="D69" s="487">
        <v>0</v>
      </c>
      <c r="E69" s="487"/>
      <c r="F69" s="487"/>
      <c r="G69" s="517" t="s">
        <v>479</v>
      </c>
    </row>
    <row r="70" spans="1:7" ht="12.75" customHeight="1" x14ac:dyDescent="0.2">
      <c r="A70" s="389"/>
      <c r="B70" s="516" t="s">
        <v>453</v>
      </c>
      <c r="C70" s="486"/>
      <c r="D70" s="487">
        <v>565</v>
      </c>
      <c r="E70" s="487"/>
      <c r="F70" s="487"/>
      <c r="G70" s="517" t="s">
        <v>480</v>
      </c>
    </row>
    <row r="71" spans="1:7" ht="12.75" customHeight="1" x14ac:dyDescent="0.2">
      <c r="A71" s="389"/>
      <c r="B71" s="516" t="s">
        <v>454</v>
      </c>
      <c r="C71" s="486"/>
      <c r="D71" s="487">
        <v>123696.42</v>
      </c>
      <c r="E71" s="487"/>
      <c r="F71" s="487"/>
      <c r="G71" s="517" t="s">
        <v>481</v>
      </c>
    </row>
    <row r="72" spans="1:7" ht="12.75" customHeight="1" x14ac:dyDescent="0.2">
      <c r="A72" s="389"/>
      <c r="B72" s="516" t="s">
        <v>455</v>
      </c>
      <c r="C72" s="486"/>
      <c r="D72" s="487">
        <v>0</v>
      </c>
      <c r="E72" s="487"/>
      <c r="F72" s="487"/>
      <c r="G72" s="517" t="s">
        <v>482</v>
      </c>
    </row>
    <row r="73" spans="1:7" ht="12.75" customHeight="1" x14ac:dyDescent="0.2">
      <c r="A73" s="389"/>
      <c r="B73" s="516" t="s">
        <v>456</v>
      </c>
      <c r="C73" s="486"/>
      <c r="D73" s="487">
        <v>5696.61</v>
      </c>
      <c r="E73" s="487"/>
      <c r="F73" s="487"/>
      <c r="G73" s="517" t="s">
        <v>483</v>
      </c>
    </row>
    <row r="74" spans="1:7" ht="12.75" customHeight="1" x14ac:dyDescent="0.2">
      <c r="A74" s="389"/>
      <c r="B74" s="516" t="s">
        <v>498</v>
      </c>
      <c r="C74" s="486"/>
      <c r="D74" s="487">
        <v>19786.080000000002</v>
      </c>
      <c r="E74" s="487"/>
      <c r="F74" s="487"/>
      <c r="G74" s="517">
        <v>3048</v>
      </c>
    </row>
    <row r="75" spans="1:7" ht="12.75" customHeight="1" x14ac:dyDescent="0.2">
      <c r="A75" s="389"/>
      <c r="B75" s="516" t="s">
        <v>457</v>
      </c>
      <c r="C75" s="486"/>
      <c r="D75" s="487">
        <v>9862.6</v>
      </c>
      <c r="E75" s="487"/>
      <c r="F75" s="487"/>
      <c r="G75" s="517" t="s">
        <v>484</v>
      </c>
    </row>
    <row r="76" spans="1:7" ht="12.75" customHeight="1" x14ac:dyDescent="0.2">
      <c r="A76" s="389"/>
      <c r="B76" s="516" t="s">
        <v>458</v>
      </c>
      <c r="C76" s="486"/>
      <c r="D76" s="487">
        <v>1576.71</v>
      </c>
      <c r="E76" s="487"/>
      <c r="F76" s="487"/>
      <c r="G76" s="517" t="s">
        <v>485</v>
      </c>
    </row>
    <row r="77" spans="1:7" ht="12.75" customHeight="1" x14ac:dyDescent="0.2">
      <c r="A77" s="389"/>
      <c r="B77" s="516" t="s">
        <v>501</v>
      </c>
      <c r="C77" s="486"/>
      <c r="D77" s="487">
        <v>0</v>
      </c>
      <c r="E77" s="487"/>
      <c r="F77" s="487"/>
      <c r="G77" s="517">
        <v>3051</v>
      </c>
    </row>
    <row r="78" spans="1:7" ht="12.75" customHeight="1" x14ac:dyDescent="0.2">
      <c r="A78" s="389"/>
      <c r="B78" s="516" t="s">
        <v>517</v>
      </c>
      <c r="C78" s="486"/>
      <c r="D78" s="487">
        <v>0</v>
      </c>
      <c r="E78" s="487"/>
      <c r="F78" s="487"/>
      <c r="G78" s="517">
        <v>3052</v>
      </c>
    </row>
    <row r="79" spans="1:7" ht="12.75" customHeight="1" x14ac:dyDescent="0.2">
      <c r="A79" s="389"/>
      <c r="B79" s="516" t="s">
        <v>459</v>
      </c>
      <c r="C79" s="486"/>
      <c r="D79" s="487">
        <v>0</v>
      </c>
      <c r="E79" s="487"/>
      <c r="F79" s="487"/>
      <c r="G79" s="517" t="s">
        <v>486</v>
      </c>
    </row>
    <row r="80" spans="1:7" ht="12.75" customHeight="1" x14ac:dyDescent="0.2">
      <c r="A80" s="389"/>
      <c r="B80" s="516" t="s">
        <v>502</v>
      </c>
      <c r="C80" s="486"/>
      <c r="D80" s="487">
        <v>1250</v>
      </c>
      <c r="E80" s="487"/>
      <c r="F80" s="487"/>
      <c r="G80" s="517">
        <v>3056</v>
      </c>
    </row>
    <row r="81" spans="1:8" ht="12.75" customHeight="1" x14ac:dyDescent="0.2">
      <c r="A81" s="389"/>
      <c r="B81" s="516" t="s">
        <v>460</v>
      </c>
      <c r="C81" s="486"/>
      <c r="D81" s="487">
        <v>0</v>
      </c>
      <c r="E81" s="487"/>
      <c r="F81" s="487"/>
      <c r="G81" s="517" t="s">
        <v>487</v>
      </c>
    </row>
    <row r="82" spans="1:8" ht="12.75" customHeight="1" x14ac:dyDescent="0.2">
      <c r="A82" s="389"/>
      <c r="B82" s="516" t="s">
        <v>461</v>
      </c>
      <c r="C82" s="486"/>
      <c r="D82" s="487">
        <v>44824.37</v>
      </c>
      <c r="E82" s="487"/>
      <c r="F82" s="487"/>
      <c r="G82" s="517" t="s">
        <v>488</v>
      </c>
    </row>
    <row r="83" spans="1:8" ht="12.75" customHeight="1" x14ac:dyDescent="0.2">
      <c r="A83" s="389"/>
      <c r="B83" s="516" t="s">
        <v>462</v>
      </c>
      <c r="C83" s="486"/>
      <c r="D83" s="487">
        <v>5900.71</v>
      </c>
      <c r="E83" s="487"/>
      <c r="F83" s="487"/>
      <c r="G83" s="517" t="s">
        <v>489</v>
      </c>
    </row>
    <row r="84" spans="1:8" ht="12.75" customHeight="1" x14ac:dyDescent="0.2">
      <c r="A84" s="389"/>
      <c r="B84" s="516" t="s">
        <v>499</v>
      </c>
      <c r="C84" s="486"/>
      <c r="D84" s="487">
        <v>3115</v>
      </c>
      <c r="E84" s="487"/>
      <c r="F84" s="487"/>
      <c r="G84" s="517">
        <v>3061</v>
      </c>
    </row>
    <row r="85" spans="1:8" ht="12.75" customHeight="1" x14ac:dyDescent="0.2">
      <c r="A85" s="389"/>
      <c r="B85" s="516" t="s">
        <v>463</v>
      </c>
      <c r="C85" s="486"/>
      <c r="D85" s="487">
        <v>5.25</v>
      </c>
      <c r="E85" s="487"/>
      <c r="F85" s="487"/>
      <c r="G85" s="517" t="s">
        <v>490</v>
      </c>
    </row>
    <row r="86" spans="1:8" ht="12.75" customHeight="1" x14ac:dyDescent="0.2">
      <c r="A86" s="389"/>
      <c r="B86" s="516" t="s">
        <v>464</v>
      </c>
      <c r="C86" s="486"/>
      <c r="D86" s="487">
        <v>478.2</v>
      </c>
      <c r="E86" s="487"/>
      <c r="F86" s="487"/>
      <c r="G86" s="517" t="s">
        <v>491</v>
      </c>
    </row>
    <row r="87" spans="1:8" ht="12.75" customHeight="1" x14ac:dyDescent="0.2">
      <c r="A87" s="389"/>
      <c r="B87" s="516" t="s">
        <v>465</v>
      </c>
      <c r="C87" s="486"/>
      <c r="D87" s="487">
        <v>45205.04</v>
      </c>
      <c r="E87" s="487"/>
      <c r="F87" s="487"/>
      <c r="G87" s="517" t="s">
        <v>492</v>
      </c>
      <c r="H87" s="489"/>
    </row>
    <row r="88" spans="1:8" ht="12.75" customHeight="1" x14ac:dyDescent="0.2">
      <c r="A88" s="389"/>
      <c r="B88" s="516" t="s">
        <v>466</v>
      </c>
      <c r="C88" s="486"/>
      <c r="D88" s="487">
        <v>0</v>
      </c>
      <c r="E88" s="487"/>
      <c r="F88" s="487"/>
      <c r="G88" s="517" t="s">
        <v>493</v>
      </c>
    </row>
    <row r="89" spans="1:8" ht="12.75" customHeight="1" x14ac:dyDescent="0.2">
      <c r="A89" s="389"/>
      <c r="B89" s="516" t="s">
        <v>467</v>
      </c>
      <c r="C89" s="486"/>
      <c r="D89" s="487">
        <v>184.1</v>
      </c>
      <c r="E89" s="487"/>
      <c r="F89" s="487"/>
      <c r="G89" s="517" t="s">
        <v>494</v>
      </c>
      <c r="H89" s="489"/>
    </row>
    <row r="90" spans="1:8" ht="12.75" customHeight="1" x14ac:dyDescent="0.2">
      <c r="A90" s="389"/>
      <c r="B90" s="519" t="s">
        <v>248</v>
      </c>
      <c r="C90" s="490"/>
      <c r="D90" s="487">
        <v>178600.46</v>
      </c>
      <c r="E90" s="518">
        <f>SUM(D90)</f>
        <v>178600.46</v>
      </c>
      <c r="F90" s="487"/>
      <c r="H90" s="489"/>
    </row>
    <row r="91" spans="1:8" ht="12.75" customHeight="1" x14ac:dyDescent="0.2">
      <c r="A91" s="389"/>
      <c r="B91" s="520" t="s">
        <v>345</v>
      </c>
      <c r="C91" s="491"/>
      <c r="D91" s="487"/>
      <c r="E91" s="518">
        <f>SUM(D92:D97)</f>
        <v>609409.76</v>
      </c>
      <c r="F91" s="487"/>
      <c r="H91" s="489"/>
    </row>
    <row r="92" spans="1:8" ht="12.75" customHeight="1" x14ac:dyDescent="0.2">
      <c r="A92" s="389"/>
      <c r="B92" s="488"/>
      <c r="C92" s="490" t="s">
        <v>249</v>
      </c>
      <c r="D92" s="487">
        <v>60015.59</v>
      </c>
      <c r="E92" s="487"/>
      <c r="F92" s="487"/>
    </row>
    <row r="93" spans="1:8" ht="12.75" customHeight="1" x14ac:dyDescent="0.2">
      <c r="A93" s="389"/>
      <c r="B93" s="488"/>
      <c r="C93" s="490" t="s">
        <v>250</v>
      </c>
      <c r="D93" s="487">
        <v>0</v>
      </c>
      <c r="E93" s="487"/>
      <c r="F93" s="487"/>
    </row>
    <row r="94" spans="1:8" ht="12.75" customHeight="1" x14ac:dyDescent="0.2">
      <c r="A94" s="389"/>
      <c r="B94" s="488"/>
      <c r="C94" s="490" t="s">
        <v>251</v>
      </c>
      <c r="D94" s="487">
        <v>447438.94</v>
      </c>
      <c r="E94" s="487"/>
      <c r="F94" s="487"/>
    </row>
    <row r="95" spans="1:8" ht="12.75" customHeight="1" x14ac:dyDescent="0.2">
      <c r="A95" s="502"/>
      <c r="B95" s="488"/>
      <c r="C95" s="490" t="s">
        <v>252</v>
      </c>
      <c r="D95" s="487">
        <v>729.99</v>
      </c>
      <c r="E95" s="487"/>
      <c r="F95" s="487"/>
    </row>
    <row r="96" spans="1:8" ht="12.75" customHeight="1" x14ac:dyDescent="0.2">
      <c r="A96" s="389"/>
      <c r="B96" s="488"/>
      <c r="C96" s="491" t="s">
        <v>253</v>
      </c>
      <c r="D96" s="487">
        <v>26796.61</v>
      </c>
      <c r="E96" s="487"/>
      <c r="F96" s="487"/>
    </row>
    <row r="97" spans="1:8" ht="12.75" customHeight="1" x14ac:dyDescent="0.2">
      <c r="A97" s="389"/>
      <c r="B97" s="493"/>
      <c r="C97" s="491" t="s">
        <v>114</v>
      </c>
      <c r="D97" s="487">
        <v>74428.63</v>
      </c>
      <c r="E97" s="487"/>
      <c r="F97" s="487"/>
      <c r="G97" s="477">
        <v>4005</v>
      </c>
    </row>
    <row r="98" spans="1:8" ht="12.75" customHeight="1" x14ac:dyDescent="0.2">
      <c r="A98" s="389"/>
      <c r="B98" s="520" t="s">
        <v>651</v>
      </c>
      <c r="C98" s="491"/>
      <c r="D98" s="487"/>
      <c r="E98" s="518">
        <f>D98</f>
        <v>0</v>
      </c>
      <c r="F98" s="487"/>
      <c r="H98" s="489"/>
    </row>
    <row r="99" spans="1:8" ht="12.75" customHeight="1" x14ac:dyDescent="0.2">
      <c r="A99" s="492"/>
      <c r="B99" s="522" t="s">
        <v>255</v>
      </c>
      <c r="C99" s="494"/>
      <c r="D99" s="487">
        <v>0</v>
      </c>
      <c r="E99" s="521">
        <f>D99</f>
        <v>0</v>
      </c>
      <c r="F99" s="495"/>
      <c r="G99" s="477">
        <v>5002</v>
      </c>
      <c r="H99" s="489"/>
    </row>
    <row r="100" spans="1:8" ht="12.75" customHeight="1" thickBot="1" x14ac:dyDescent="0.25">
      <c r="A100" s="496"/>
      <c r="B100" s="497"/>
      <c r="C100" s="498"/>
      <c r="D100" s="503"/>
      <c r="E100" s="500"/>
      <c r="F100" s="889">
        <f>SUM(E50:E100)</f>
        <v>1472928.06</v>
      </c>
      <c r="H100" s="501">
        <f>'Sched-B1'!B5+'Sched-B2'!E37+'Sched-D1'!F100-8751254.06-351284.68</f>
        <v>0</v>
      </c>
    </row>
    <row r="101" spans="1:8" ht="12.75" customHeight="1" x14ac:dyDescent="0.2">
      <c r="A101" s="482" t="s">
        <v>495</v>
      </c>
      <c r="B101" s="611" t="s">
        <v>652</v>
      </c>
      <c r="C101" s="483"/>
      <c r="D101" s="484">
        <v>4934.59</v>
      </c>
      <c r="E101" s="600">
        <f>D101</f>
        <v>4934.59</v>
      </c>
      <c r="F101" s="485"/>
      <c r="G101" s="477">
        <v>2000</v>
      </c>
    </row>
    <row r="102" spans="1:8" ht="12.75" customHeight="1" x14ac:dyDescent="0.2">
      <c r="A102" s="389"/>
      <c r="B102" s="514" t="s">
        <v>440</v>
      </c>
      <c r="C102" s="486"/>
      <c r="D102" s="487"/>
      <c r="E102" s="518">
        <f>SUM(D102:D141)</f>
        <v>1036785.6800000002</v>
      </c>
      <c r="F102" s="487"/>
    </row>
    <row r="103" spans="1:8" ht="12.75" customHeight="1" x14ac:dyDescent="0.2">
      <c r="A103" s="389"/>
      <c r="B103" s="516" t="s">
        <v>441</v>
      </c>
      <c r="C103" s="486"/>
      <c r="D103" s="487">
        <v>3777</v>
      </c>
      <c r="E103" s="487"/>
      <c r="F103" s="487"/>
      <c r="G103" s="517" t="s">
        <v>468</v>
      </c>
    </row>
    <row r="104" spans="1:8" ht="12.75" customHeight="1" x14ac:dyDescent="0.2">
      <c r="A104" s="389"/>
      <c r="B104" s="516" t="s">
        <v>442</v>
      </c>
      <c r="C104" s="486"/>
      <c r="D104" s="487">
        <v>14.99</v>
      </c>
      <c r="E104" s="487"/>
      <c r="F104" s="487"/>
      <c r="G104" s="517" t="s">
        <v>469</v>
      </c>
    </row>
    <row r="105" spans="1:8" ht="12.75" customHeight="1" x14ac:dyDescent="0.2">
      <c r="A105" s="389"/>
      <c r="B105" s="516" t="s">
        <v>500</v>
      </c>
      <c r="C105" s="486"/>
      <c r="D105" s="487">
        <v>0</v>
      </c>
      <c r="E105" s="487"/>
      <c r="F105" s="487"/>
      <c r="G105" s="517">
        <v>3003</v>
      </c>
    </row>
    <row r="106" spans="1:8" ht="12.75" customHeight="1" x14ac:dyDescent="0.2">
      <c r="A106" s="389"/>
      <c r="B106" s="516" t="s">
        <v>443</v>
      </c>
      <c r="C106" s="486"/>
      <c r="D106" s="487">
        <v>34.4</v>
      </c>
      <c r="E106" s="487"/>
      <c r="F106" s="487"/>
      <c r="G106" s="517" t="s">
        <v>470</v>
      </c>
    </row>
    <row r="107" spans="1:8" ht="12.75" customHeight="1" x14ac:dyDescent="0.2">
      <c r="A107" s="389"/>
      <c r="B107" s="516" t="s">
        <v>444</v>
      </c>
      <c r="C107" s="486"/>
      <c r="D107" s="487">
        <v>0</v>
      </c>
      <c r="E107" s="487"/>
      <c r="F107" s="487"/>
      <c r="G107" s="517" t="s">
        <v>471</v>
      </c>
    </row>
    <row r="108" spans="1:8" ht="12.75" customHeight="1" x14ac:dyDescent="0.2">
      <c r="A108" s="389"/>
      <c r="B108" s="516" t="s">
        <v>445</v>
      </c>
      <c r="C108" s="486"/>
      <c r="D108" s="487">
        <v>0</v>
      </c>
      <c r="E108" s="487"/>
      <c r="F108" s="487"/>
      <c r="G108" s="517" t="s">
        <v>472</v>
      </c>
    </row>
    <row r="109" spans="1:8" ht="12.75" customHeight="1" x14ac:dyDescent="0.2">
      <c r="A109" s="389"/>
      <c r="B109" s="525" t="s">
        <v>50</v>
      </c>
      <c r="C109" s="486"/>
      <c r="D109" s="487">
        <v>636517.12</v>
      </c>
      <c r="E109" s="487"/>
      <c r="F109" s="487"/>
      <c r="G109" s="517"/>
    </row>
    <row r="110" spans="1:8" ht="12.75" customHeight="1" x14ac:dyDescent="0.2">
      <c r="A110" s="389"/>
      <c r="B110" s="516" t="s">
        <v>446</v>
      </c>
      <c r="C110" s="486"/>
      <c r="D110" s="487">
        <v>917.79</v>
      </c>
      <c r="E110" s="487"/>
      <c r="F110" s="487"/>
      <c r="G110" s="517" t="s">
        <v>473</v>
      </c>
    </row>
    <row r="111" spans="1:8" ht="12.75" customHeight="1" x14ac:dyDescent="0.2">
      <c r="A111" s="389"/>
      <c r="B111" s="516" t="s">
        <v>447</v>
      </c>
      <c r="C111" s="486"/>
      <c r="D111" s="487">
        <v>10499</v>
      </c>
      <c r="E111" s="487"/>
      <c r="F111" s="487"/>
      <c r="G111" s="517" t="s">
        <v>474</v>
      </c>
    </row>
    <row r="112" spans="1:8" ht="12.75" customHeight="1" x14ac:dyDescent="0.2">
      <c r="A112" s="389"/>
      <c r="B112" s="516" t="s">
        <v>497</v>
      </c>
      <c r="C112" s="486"/>
      <c r="D112" s="487">
        <v>0</v>
      </c>
      <c r="E112" s="487"/>
      <c r="F112" s="487"/>
      <c r="G112" s="517">
        <v>3034</v>
      </c>
    </row>
    <row r="113" spans="1:7" ht="12.75" customHeight="1" x14ac:dyDescent="0.2">
      <c r="A113" s="389"/>
      <c r="B113" s="516" t="s">
        <v>448</v>
      </c>
      <c r="C113" s="486"/>
      <c r="D113" s="487">
        <v>5456.47</v>
      </c>
      <c r="E113" s="487"/>
      <c r="F113" s="487"/>
      <c r="G113" s="517" t="s">
        <v>475</v>
      </c>
    </row>
    <row r="114" spans="1:7" ht="12.75" customHeight="1" x14ac:dyDescent="0.2">
      <c r="A114" s="389"/>
      <c r="B114" s="516" t="s">
        <v>449</v>
      </c>
      <c r="C114" s="486"/>
      <c r="D114" s="487">
        <v>17990.57</v>
      </c>
      <c r="E114" s="487"/>
      <c r="F114" s="487"/>
      <c r="G114" s="517" t="s">
        <v>476</v>
      </c>
    </row>
    <row r="115" spans="1:7" ht="12.75" customHeight="1" x14ac:dyDescent="0.2">
      <c r="A115" s="389"/>
      <c r="B115" s="516" t="s">
        <v>450</v>
      </c>
      <c r="C115" s="486"/>
      <c r="D115" s="487">
        <v>855.67</v>
      </c>
      <c r="E115" s="487"/>
      <c r="F115" s="487"/>
      <c r="G115" s="517" t="s">
        <v>477</v>
      </c>
    </row>
    <row r="116" spans="1:7" ht="12.75" customHeight="1" x14ac:dyDescent="0.2">
      <c r="A116" s="389"/>
      <c r="B116" s="516" t="s">
        <v>451</v>
      </c>
      <c r="C116" s="486"/>
      <c r="D116" s="487">
        <v>1368.72</v>
      </c>
      <c r="E116" s="487"/>
      <c r="F116" s="487"/>
      <c r="G116" s="517" t="s">
        <v>478</v>
      </c>
    </row>
    <row r="117" spans="1:7" ht="12.75" customHeight="1" x14ac:dyDescent="0.2">
      <c r="A117" s="389"/>
      <c r="B117" s="516" t="s">
        <v>452</v>
      </c>
      <c r="C117" s="486"/>
      <c r="D117" s="487">
        <v>0</v>
      </c>
      <c r="E117" s="487"/>
      <c r="F117" s="487"/>
      <c r="G117" s="517" t="s">
        <v>479</v>
      </c>
    </row>
    <row r="118" spans="1:7" ht="12.75" customHeight="1" x14ac:dyDescent="0.2">
      <c r="A118" s="389"/>
      <c r="B118" s="516" t="s">
        <v>453</v>
      </c>
      <c r="C118" s="486"/>
      <c r="D118" s="734">
        <v>20557.91</v>
      </c>
      <c r="E118" s="487"/>
      <c r="F118" s="487"/>
      <c r="G118" s="517" t="s">
        <v>480</v>
      </c>
    </row>
    <row r="119" spans="1:7" ht="12.75" customHeight="1" x14ac:dyDescent="0.2">
      <c r="A119" s="389"/>
      <c r="B119" s="516" t="s">
        <v>454</v>
      </c>
      <c r="C119" s="486"/>
      <c r="D119" s="487">
        <v>2550.7800000000002</v>
      </c>
      <c r="E119" s="487"/>
      <c r="F119" s="487"/>
      <c r="G119" s="517" t="s">
        <v>481</v>
      </c>
    </row>
    <row r="120" spans="1:7" ht="12.75" customHeight="1" x14ac:dyDescent="0.2">
      <c r="A120" s="389"/>
      <c r="B120" s="516" t="s">
        <v>455</v>
      </c>
      <c r="C120" s="486"/>
      <c r="D120" s="487">
        <v>0</v>
      </c>
      <c r="E120" s="487"/>
      <c r="F120" s="487"/>
      <c r="G120" s="517" t="s">
        <v>482</v>
      </c>
    </row>
    <row r="121" spans="1:7" ht="12.75" customHeight="1" x14ac:dyDescent="0.2">
      <c r="A121" s="389"/>
      <c r="B121" s="516" t="s">
        <v>456</v>
      </c>
      <c r="C121" s="486"/>
      <c r="D121" s="487">
        <v>12384.77</v>
      </c>
      <c r="E121" s="487"/>
      <c r="F121" s="487"/>
      <c r="G121" s="517" t="s">
        <v>483</v>
      </c>
    </row>
    <row r="122" spans="1:7" ht="12.75" customHeight="1" x14ac:dyDescent="0.2">
      <c r="A122" s="389"/>
      <c r="B122" s="516" t="s">
        <v>498</v>
      </c>
      <c r="C122" s="486"/>
      <c r="D122" s="487">
        <v>23086.04</v>
      </c>
      <c r="E122" s="487"/>
      <c r="F122" s="487"/>
      <c r="G122" s="517">
        <v>3048</v>
      </c>
    </row>
    <row r="123" spans="1:7" ht="12.75" customHeight="1" x14ac:dyDescent="0.2">
      <c r="A123" s="389"/>
      <c r="B123" s="516" t="s">
        <v>457</v>
      </c>
      <c r="C123" s="486"/>
      <c r="D123" s="487">
        <v>15446.42</v>
      </c>
      <c r="E123" s="487"/>
      <c r="F123" s="487"/>
      <c r="G123" s="517" t="s">
        <v>484</v>
      </c>
    </row>
    <row r="124" spans="1:7" ht="12.75" customHeight="1" x14ac:dyDescent="0.2">
      <c r="A124" s="389"/>
      <c r="B124" s="516" t="s">
        <v>458</v>
      </c>
      <c r="C124" s="486"/>
      <c r="D124" s="487">
        <v>8977.7900000000009</v>
      </c>
      <c r="E124" s="487"/>
      <c r="F124" s="487"/>
      <c r="G124" s="517" t="s">
        <v>485</v>
      </c>
    </row>
    <row r="125" spans="1:7" ht="12.75" customHeight="1" x14ac:dyDescent="0.2">
      <c r="A125" s="389"/>
      <c r="B125" s="516" t="s">
        <v>501</v>
      </c>
      <c r="C125" s="486"/>
      <c r="D125" s="487">
        <v>13976.56</v>
      </c>
      <c r="E125" s="487"/>
      <c r="F125" s="487"/>
      <c r="G125" s="517">
        <v>3051</v>
      </c>
    </row>
    <row r="126" spans="1:7" ht="12.75" customHeight="1" x14ac:dyDescent="0.2">
      <c r="A126" s="389"/>
      <c r="B126" s="516" t="s">
        <v>768</v>
      </c>
      <c r="C126" s="486"/>
      <c r="D126" s="487">
        <v>0</v>
      </c>
      <c r="E126" s="487"/>
      <c r="F126" s="487"/>
      <c r="G126" s="517">
        <v>3053</v>
      </c>
    </row>
    <row r="127" spans="1:7" ht="12.75" customHeight="1" x14ac:dyDescent="0.2">
      <c r="A127" s="389"/>
      <c r="B127" s="516" t="s">
        <v>769</v>
      </c>
      <c r="C127" s="486"/>
      <c r="D127" s="487">
        <v>0</v>
      </c>
      <c r="E127" s="487"/>
      <c r="F127" s="487"/>
      <c r="G127" s="517">
        <v>3054</v>
      </c>
    </row>
    <row r="128" spans="1:7" ht="12.75" customHeight="1" x14ac:dyDescent="0.2">
      <c r="A128" s="389"/>
      <c r="B128" s="516" t="s">
        <v>459</v>
      </c>
      <c r="C128" s="486"/>
      <c r="D128" s="487">
        <v>7328</v>
      </c>
      <c r="E128" s="487"/>
      <c r="F128" s="487"/>
      <c r="G128" s="517" t="s">
        <v>486</v>
      </c>
    </row>
    <row r="129" spans="1:8" ht="12.75" customHeight="1" x14ac:dyDescent="0.2">
      <c r="A129" s="389"/>
      <c r="B129" s="516" t="s">
        <v>502</v>
      </c>
      <c r="C129" s="486"/>
      <c r="D129" s="487">
        <v>33193.93</v>
      </c>
      <c r="E129" s="487"/>
      <c r="F129" s="487"/>
      <c r="G129" s="517">
        <v>3056</v>
      </c>
    </row>
    <row r="130" spans="1:8" ht="12.75" customHeight="1" x14ac:dyDescent="0.2">
      <c r="A130" s="389"/>
      <c r="B130" s="516" t="s">
        <v>460</v>
      </c>
      <c r="C130" s="486"/>
      <c r="D130" s="487">
        <v>0</v>
      </c>
      <c r="E130" s="487"/>
      <c r="F130" s="487"/>
      <c r="G130" s="517">
        <v>3057</v>
      </c>
    </row>
    <row r="131" spans="1:8" ht="12.75" customHeight="1" x14ac:dyDescent="0.2">
      <c r="A131" s="389"/>
      <c r="B131" s="516" t="s">
        <v>461</v>
      </c>
      <c r="C131" s="486"/>
      <c r="D131" s="487">
        <v>78980.45</v>
      </c>
      <c r="E131" s="487"/>
      <c r="F131" s="487"/>
      <c r="G131" s="517" t="s">
        <v>488</v>
      </c>
    </row>
    <row r="132" spans="1:8" ht="12.75" customHeight="1" x14ac:dyDescent="0.2">
      <c r="A132" s="389"/>
      <c r="B132" s="516" t="s">
        <v>462</v>
      </c>
      <c r="C132" s="486"/>
      <c r="D132" s="487">
        <v>4648.82</v>
      </c>
      <c r="E132" s="487"/>
      <c r="F132" s="487"/>
      <c r="G132" s="517" t="s">
        <v>489</v>
      </c>
    </row>
    <row r="133" spans="1:8" ht="12.75" customHeight="1" x14ac:dyDescent="0.2">
      <c r="A133" s="389"/>
      <c r="B133" s="516" t="s">
        <v>499</v>
      </c>
      <c r="C133" s="486"/>
      <c r="D133" s="487">
        <v>0</v>
      </c>
      <c r="E133" s="487"/>
      <c r="F133" s="487"/>
      <c r="G133" s="517"/>
    </row>
    <row r="134" spans="1:8" ht="12.75" customHeight="1" x14ac:dyDescent="0.2">
      <c r="A134" s="389"/>
      <c r="B134" s="516" t="s">
        <v>463</v>
      </c>
      <c r="C134" s="486"/>
      <c r="D134" s="487">
        <v>148.94999999999999</v>
      </c>
      <c r="E134" s="487"/>
      <c r="F134" s="487"/>
      <c r="G134" s="517" t="s">
        <v>490</v>
      </c>
    </row>
    <row r="135" spans="1:8" ht="12.75" customHeight="1" x14ac:dyDescent="0.2">
      <c r="A135" s="389"/>
      <c r="B135" s="516" t="s">
        <v>512</v>
      </c>
      <c r="C135" s="486"/>
      <c r="D135" s="487">
        <v>0</v>
      </c>
      <c r="E135" s="487"/>
      <c r="F135" s="487"/>
      <c r="G135" s="517">
        <v>3065</v>
      </c>
    </row>
    <row r="136" spans="1:8" ht="12.75" customHeight="1" x14ac:dyDescent="0.2">
      <c r="A136" s="389"/>
      <c r="B136" s="516" t="s">
        <v>464</v>
      </c>
      <c r="C136" s="486"/>
      <c r="D136" s="487">
        <v>0</v>
      </c>
      <c r="E136" s="487"/>
      <c r="F136" s="487"/>
      <c r="G136" s="517" t="s">
        <v>491</v>
      </c>
    </row>
    <row r="137" spans="1:8" ht="12.75" customHeight="1" x14ac:dyDescent="0.2">
      <c r="A137" s="389"/>
      <c r="B137" s="516" t="s">
        <v>465</v>
      </c>
      <c r="C137" s="486"/>
      <c r="D137" s="487">
        <v>138021.03</v>
      </c>
      <c r="E137" s="487"/>
      <c r="F137" s="487"/>
      <c r="G137" s="517" t="s">
        <v>492</v>
      </c>
      <c r="H137" s="489"/>
    </row>
    <row r="138" spans="1:8" ht="12.75" customHeight="1" x14ac:dyDescent="0.2">
      <c r="A138" s="389"/>
      <c r="B138" s="516" t="s">
        <v>466</v>
      </c>
      <c r="C138" s="486"/>
      <c r="D138" s="487">
        <v>0</v>
      </c>
      <c r="E138" s="487"/>
      <c r="F138" s="487"/>
      <c r="G138" s="517">
        <v>3068</v>
      </c>
    </row>
    <row r="139" spans="1:8" ht="12.75" customHeight="1" x14ac:dyDescent="0.2">
      <c r="A139" s="389"/>
      <c r="B139" s="516" t="s">
        <v>467</v>
      </c>
      <c r="C139" s="486"/>
      <c r="D139" s="487">
        <v>52.5</v>
      </c>
      <c r="E139" s="487"/>
      <c r="F139" s="487"/>
      <c r="G139" s="517">
        <v>3069</v>
      </c>
    </row>
    <row r="140" spans="1:8" ht="12.75" customHeight="1" x14ac:dyDescent="0.2">
      <c r="A140" s="389"/>
      <c r="B140" s="516" t="s">
        <v>503</v>
      </c>
      <c r="C140" s="486"/>
      <c r="D140" s="487">
        <v>0</v>
      </c>
      <c r="E140" s="487"/>
      <c r="F140" s="487"/>
      <c r="G140" s="517">
        <v>3073</v>
      </c>
    </row>
    <row r="141" spans="1:8" ht="12.75" customHeight="1" x14ac:dyDescent="0.2">
      <c r="A141" s="389"/>
      <c r="B141" s="488"/>
      <c r="C141" s="515"/>
      <c r="D141" s="487"/>
      <c r="E141" s="487"/>
      <c r="F141" s="487"/>
    </row>
    <row r="142" spans="1:8" ht="12.75" customHeight="1" x14ac:dyDescent="0.2">
      <c r="A142" s="389"/>
      <c r="B142" s="519" t="s">
        <v>248</v>
      </c>
      <c r="D142" s="487">
        <v>341766.15</v>
      </c>
      <c r="E142" s="518">
        <f>SUM(D142)</f>
        <v>341766.15</v>
      </c>
      <c r="F142" s="487"/>
      <c r="G142" s="477">
        <v>3001</v>
      </c>
      <c r="H142" s="489"/>
    </row>
    <row r="143" spans="1:8" ht="12.75" customHeight="1" x14ac:dyDescent="0.2">
      <c r="A143" s="389"/>
      <c r="B143" s="520" t="s">
        <v>345</v>
      </c>
      <c r="C143" s="491"/>
      <c r="D143" s="487"/>
      <c r="E143" s="518">
        <f>SUM(D144:D149)</f>
        <v>1353372.35</v>
      </c>
      <c r="F143" s="487"/>
    </row>
    <row r="144" spans="1:8" ht="12.75" customHeight="1" x14ac:dyDescent="0.2">
      <c r="A144" s="389"/>
      <c r="B144" s="488"/>
      <c r="C144" s="490" t="s">
        <v>249</v>
      </c>
      <c r="D144" s="487">
        <v>89578.34</v>
      </c>
      <c r="E144" s="487"/>
      <c r="F144" s="487"/>
      <c r="G144" s="477">
        <v>4000</v>
      </c>
    </row>
    <row r="145" spans="1:11" ht="12.75" customHeight="1" x14ac:dyDescent="0.2">
      <c r="A145" s="389"/>
      <c r="B145" s="488"/>
      <c r="C145" s="490" t="s">
        <v>250</v>
      </c>
      <c r="D145" s="487">
        <v>0</v>
      </c>
      <c r="E145" s="487"/>
      <c r="F145" s="487"/>
      <c r="G145" s="477">
        <v>4001</v>
      </c>
    </row>
    <row r="146" spans="1:11" ht="12.75" customHeight="1" x14ac:dyDescent="0.2">
      <c r="A146" s="389"/>
      <c r="B146" s="488"/>
      <c r="C146" s="490" t="s">
        <v>251</v>
      </c>
      <c r="D146" s="487">
        <v>1034549.62</v>
      </c>
      <c r="E146" s="487"/>
      <c r="F146" s="487"/>
    </row>
    <row r="147" spans="1:11" ht="12.75" customHeight="1" x14ac:dyDescent="0.2">
      <c r="A147" s="389"/>
      <c r="B147" s="488"/>
      <c r="C147" s="490" t="s">
        <v>252</v>
      </c>
      <c r="D147" s="487">
        <v>7263.32</v>
      </c>
      <c r="E147" s="487"/>
      <c r="F147" s="487"/>
    </row>
    <row r="148" spans="1:11" ht="12.75" customHeight="1" x14ac:dyDescent="0.2">
      <c r="A148" s="389"/>
      <c r="B148" s="488"/>
      <c r="C148" s="491" t="s">
        <v>253</v>
      </c>
      <c r="D148" s="487">
        <v>155792.97</v>
      </c>
      <c r="E148" s="487"/>
      <c r="F148" s="487"/>
    </row>
    <row r="149" spans="1:11" ht="12.75" customHeight="1" x14ac:dyDescent="0.2">
      <c r="A149" s="389"/>
      <c r="B149" s="488"/>
      <c r="C149" s="491" t="s">
        <v>114</v>
      </c>
      <c r="D149" s="487">
        <v>66188.100000000006</v>
      </c>
      <c r="E149" s="487"/>
      <c r="F149" s="487"/>
      <c r="G149" s="477">
        <v>4005</v>
      </c>
    </row>
    <row r="150" spans="1:11" ht="12.75" customHeight="1" x14ac:dyDescent="0.2">
      <c r="A150" s="492"/>
      <c r="B150" s="520" t="s">
        <v>651</v>
      </c>
      <c r="C150" s="491"/>
      <c r="D150" s="487"/>
      <c r="E150" s="518">
        <f>D150</f>
        <v>0</v>
      </c>
      <c r="F150" s="495"/>
    </row>
    <row r="151" spans="1:11" ht="12.75" customHeight="1" x14ac:dyDescent="0.2">
      <c r="A151" s="492"/>
      <c r="B151" s="522" t="s">
        <v>255</v>
      </c>
      <c r="D151" s="487">
        <v>0</v>
      </c>
      <c r="E151" s="521">
        <f>D151</f>
        <v>0</v>
      </c>
      <c r="F151" s="495"/>
      <c r="G151" s="477">
        <v>5000</v>
      </c>
    </row>
    <row r="152" spans="1:11" ht="12.75" customHeight="1" thickBot="1" x14ac:dyDescent="0.25">
      <c r="A152" s="496"/>
      <c r="B152" s="497"/>
      <c r="C152" s="498"/>
      <c r="D152" s="499"/>
      <c r="E152" s="500"/>
      <c r="F152" s="889">
        <f>SUM(E101:E151)</f>
        <v>2736858.7700000005</v>
      </c>
      <c r="H152" s="501">
        <f>'Sched-B1'!B6+'Sched-B2'!E54+'Sched-D1'!F152-18861374.64-636517.12</f>
        <v>-2.6775524020195007E-9</v>
      </c>
      <c r="K152" s="489"/>
    </row>
    <row r="153" spans="1:11" ht="12.75" customHeight="1" x14ac:dyDescent="0.2">
      <c r="A153" s="482" t="s">
        <v>504</v>
      </c>
      <c r="B153" s="611" t="s">
        <v>652</v>
      </c>
      <c r="C153" s="483"/>
      <c r="D153" s="484">
        <f>57918.01+2421.39+10.88</f>
        <v>60350.28</v>
      </c>
      <c r="E153" s="518">
        <f>D153</f>
        <v>60350.28</v>
      </c>
      <c r="F153" s="485"/>
      <c r="G153" s="477">
        <v>2000</v>
      </c>
    </row>
    <row r="154" spans="1:11" ht="12.75" customHeight="1" x14ac:dyDescent="0.2">
      <c r="A154" s="389"/>
      <c r="B154" s="514" t="s">
        <v>440</v>
      </c>
      <c r="C154" s="486"/>
      <c r="D154" s="487"/>
      <c r="E154" s="518">
        <f>SUM(D154:D197)</f>
        <v>1106972.8099999998</v>
      </c>
      <c r="F154" s="487"/>
    </row>
    <row r="155" spans="1:11" ht="12.75" customHeight="1" x14ac:dyDescent="0.2">
      <c r="A155" s="389"/>
      <c r="B155" s="516" t="s">
        <v>441</v>
      </c>
      <c r="C155" s="486"/>
      <c r="D155" s="487">
        <v>7731.62</v>
      </c>
      <c r="E155" s="487"/>
      <c r="F155" s="487"/>
      <c r="G155" s="517" t="s">
        <v>468</v>
      </c>
    </row>
    <row r="156" spans="1:11" ht="12.75" customHeight="1" x14ac:dyDescent="0.2">
      <c r="A156" s="389"/>
      <c r="B156" s="516" t="s">
        <v>442</v>
      </c>
      <c r="C156" s="486"/>
      <c r="D156" s="487">
        <v>240</v>
      </c>
      <c r="E156" s="487"/>
      <c r="F156" s="487"/>
      <c r="G156" s="517" t="s">
        <v>469</v>
      </c>
    </row>
    <row r="157" spans="1:11" ht="12.75" customHeight="1" x14ac:dyDescent="0.2">
      <c r="A157" s="389"/>
      <c r="B157" s="516" t="s">
        <v>839</v>
      </c>
      <c r="C157" s="486"/>
      <c r="D157" s="487">
        <v>24.64</v>
      </c>
      <c r="E157" s="487"/>
      <c r="F157" s="487"/>
      <c r="G157" s="517">
        <v>3004</v>
      </c>
    </row>
    <row r="158" spans="1:11" ht="12.75" customHeight="1" x14ac:dyDescent="0.2">
      <c r="A158" s="389"/>
      <c r="B158" s="516" t="s">
        <v>500</v>
      </c>
      <c r="C158" s="486"/>
      <c r="D158" s="487">
        <v>0</v>
      </c>
      <c r="E158" s="487"/>
      <c r="F158" s="487"/>
      <c r="G158" s="517">
        <v>3003</v>
      </c>
    </row>
    <row r="159" spans="1:11" ht="12.75" customHeight="1" x14ac:dyDescent="0.2">
      <c r="A159" s="389"/>
      <c r="B159" s="516" t="s">
        <v>772</v>
      </c>
      <c r="C159" s="486"/>
      <c r="D159" s="487">
        <v>0</v>
      </c>
      <c r="E159" s="487"/>
      <c r="F159" s="487"/>
      <c r="G159" s="517">
        <v>3005</v>
      </c>
    </row>
    <row r="160" spans="1:11" ht="12.75" customHeight="1" x14ac:dyDescent="0.2">
      <c r="A160" s="389"/>
      <c r="B160" s="516" t="s">
        <v>443</v>
      </c>
      <c r="C160" s="486"/>
      <c r="D160" s="487">
        <v>135.55000000000001</v>
      </c>
      <c r="E160" s="487"/>
      <c r="F160" s="487"/>
      <c r="G160" s="517" t="s">
        <v>470</v>
      </c>
    </row>
    <row r="161" spans="1:7" ht="12.75" customHeight="1" x14ac:dyDescent="0.2">
      <c r="A161" s="389"/>
      <c r="B161" s="516" t="s">
        <v>511</v>
      </c>
      <c r="C161" s="486"/>
      <c r="D161" s="487">
        <v>75</v>
      </c>
      <c r="E161" s="487"/>
      <c r="F161" s="487"/>
      <c r="G161" s="517">
        <v>3014</v>
      </c>
    </row>
    <row r="162" spans="1:7" ht="12.75" customHeight="1" x14ac:dyDescent="0.2">
      <c r="A162" s="389"/>
      <c r="B162" s="516" t="s">
        <v>444</v>
      </c>
      <c r="C162" s="486"/>
      <c r="D162" s="487">
        <v>30</v>
      </c>
      <c r="E162" s="487"/>
      <c r="F162" s="487"/>
      <c r="G162" s="517" t="s">
        <v>471</v>
      </c>
    </row>
    <row r="163" spans="1:7" ht="12.75" customHeight="1" x14ac:dyDescent="0.2">
      <c r="A163" s="389"/>
      <c r="B163" s="516" t="s">
        <v>445</v>
      </c>
      <c r="C163" s="486"/>
      <c r="D163" s="487">
        <v>0</v>
      </c>
      <c r="E163" s="487"/>
      <c r="F163" s="487"/>
      <c r="G163" s="517" t="s">
        <v>472</v>
      </c>
    </row>
    <row r="164" spans="1:7" ht="12.75" customHeight="1" x14ac:dyDescent="0.2">
      <c r="A164" s="389"/>
      <c r="B164" s="525" t="s">
        <v>50</v>
      </c>
      <c r="C164" s="486"/>
      <c r="D164" s="487">
        <v>836707.97</v>
      </c>
      <c r="E164" s="487"/>
      <c r="F164" s="487"/>
      <c r="G164" s="517"/>
    </row>
    <row r="165" spans="1:7" ht="12.75" customHeight="1" x14ac:dyDescent="0.2">
      <c r="A165" s="389"/>
      <c r="B165" s="516" t="s">
        <v>505</v>
      </c>
      <c r="C165" s="486"/>
      <c r="D165" s="487">
        <v>0</v>
      </c>
      <c r="E165" s="487"/>
      <c r="F165" s="487"/>
      <c r="G165" s="517">
        <v>3029</v>
      </c>
    </row>
    <row r="166" spans="1:7" ht="12.75" customHeight="1" x14ac:dyDescent="0.2">
      <c r="A166" s="389"/>
      <c r="B166" s="516" t="s">
        <v>446</v>
      </c>
      <c r="C166" s="486"/>
      <c r="D166" s="487">
        <v>917.79</v>
      </c>
      <c r="E166" s="487"/>
      <c r="F166" s="487"/>
      <c r="G166" s="517" t="s">
        <v>473</v>
      </c>
    </row>
    <row r="167" spans="1:7" ht="12.75" customHeight="1" x14ac:dyDescent="0.2">
      <c r="A167" s="389"/>
      <c r="B167" s="516" t="s">
        <v>447</v>
      </c>
      <c r="C167" s="486"/>
      <c r="D167" s="487">
        <v>504</v>
      </c>
      <c r="E167" s="487"/>
      <c r="F167" s="487"/>
      <c r="G167" s="517" t="s">
        <v>474</v>
      </c>
    </row>
    <row r="168" spans="1:7" ht="12.75" customHeight="1" x14ac:dyDescent="0.2">
      <c r="A168" s="389"/>
      <c r="B168" s="516" t="s">
        <v>497</v>
      </c>
      <c r="C168" s="486"/>
      <c r="D168" s="487">
        <v>0</v>
      </c>
      <c r="E168" s="487"/>
      <c r="F168" s="487"/>
      <c r="G168" s="517">
        <v>3034</v>
      </c>
    </row>
    <row r="169" spans="1:7" ht="12.75" customHeight="1" x14ac:dyDescent="0.2">
      <c r="A169" s="389"/>
      <c r="B169" s="516" t="s">
        <v>448</v>
      </c>
      <c r="C169" s="486"/>
      <c r="D169" s="487">
        <v>822.5</v>
      </c>
      <c r="E169" s="487"/>
      <c r="F169" s="487"/>
      <c r="G169" s="517" t="s">
        <v>475</v>
      </c>
    </row>
    <row r="170" spans="1:7" ht="12.75" customHeight="1" x14ac:dyDescent="0.2">
      <c r="A170" s="389"/>
      <c r="B170" s="516" t="s">
        <v>449</v>
      </c>
      <c r="C170" s="486"/>
      <c r="D170" s="487">
        <v>4320.8500000000004</v>
      </c>
      <c r="E170" s="487"/>
      <c r="F170" s="487"/>
      <c r="G170" s="517" t="s">
        <v>476</v>
      </c>
    </row>
    <row r="171" spans="1:7" ht="12.75" customHeight="1" x14ac:dyDescent="0.2">
      <c r="A171" s="389"/>
      <c r="B171" s="516" t="s">
        <v>450</v>
      </c>
      <c r="C171" s="486"/>
      <c r="D171" s="487">
        <v>0</v>
      </c>
      <c r="E171" s="487"/>
      <c r="F171" s="487"/>
      <c r="G171" s="517" t="s">
        <v>477</v>
      </c>
    </row>
    <row r="172" spans="1:7" ht="12.75" customHeight="1" x14ac:dyDescent="0.2">
      <c r="A172" s="389"/>
      <c r="B172" s="516" t="s">
        <v>451</v>
      </c>
      <c r="C172" s="486"/>
      <c r="D172" s="487">
        <v>2092.33</v>
      </c>
      <c r="E172" s="487"/>
      <c r="F172" s="487"/>
      <c r="G172" s="517" t="s">
        <v>478</v>
      </c>
    </row>
    <row r="173" spans="1:7" ht="12.75" customHeight="1" x14ac:dyDescent="0.2">
      <c r="A173" s="389"/>
      <c r="B173" s="516" t="s">
        <v>452</v>
      </c>
      <c r="C173" s="486"/>
      <c r="D173" s="487">
        <v>0</v>
      </c>
      <c r="E173" s="487"/>
      <c r="F173" s="487"/>
      <c r="G173" s="517" t="s">
        <v>479</v>
      </c>
    </row>
    <row r="174" spans="1:7" ht="12.75" customHeight="1" x14ac:dyDescent="0.2">
      <c r="A174" s="389"/>
      <c r="B174" s="516" t="s">
        <v>453</v>
      </c>
      <c r="C174" s="486"/>
      <c r="D174" s="487">
        <v>0</v>
      </c>
      <c r="E174" s="487"/>
      <c r="F174" s="487"/>
      <c r="G174" s="517" t="s">
        <v>480</v>
      </c>
    </row>
    <row r="175" spans="1:7" ht="12.75" customHeight="1" x14ac:dyDescent="0.2">
      <c r="A175" s="389"/>
      <c r="B175" s="516" t="s">
        <v>454</v>
      </c>
      <c r="C175" s="486"/>
      <c r="D175" s="487">
        <v>0</v>
      </c>
      <c r="E175" s="487"/>
      <c r="F175" s="487"/>
      <c r="G175" s="517" t="s">
        <v>481</v>
      </c>
    </row>
    <row r="176" spans="1:7" ht="12.75" customHeight="1" x14ac:dyDescent="0.2">
      <c r="A176" s="389"/>
      <c r="B176" s="516" t="s">
        <v>455</v>
      </c>
      <c r="C176" s="486"/>
      <c r="D176" s="487">
        <v>0</v>
      </c>
      <c r="E176" s="487"/>
      <c r="F176" s="487"/>
      <c r="G176" s="517" t="s">
        <v>482</v>
      </c>
    </row>
    <row r="177" spans="1:8" ht="12.75" customHeight="1" x14ac:dyDescent="0.2">
      <c r="A177" s="389"/>
      <c r="B177" s="516" t="s">
        <v>456</v>
      </c>
      <c r="C177" s="486"/>
      <c r="D177" s="487">
        <v>9178.9500000000007</v>
      </c>
      <c r="E177" s="487"/>
      <c r="F177" s="487"/>
      <c r="G177" s="517" t="s">
        <v>483</v>
      </c>
    </row>
    <row r="178" spans="1:8" ht="12.75" customHeight="1" x14ac:dyDescent="0.2">
      <c r="A178" s="389"/>
      <c r="B178" s="516" t="s">
        <v>498</v>
      </c>
      <c r="C178" s="486"/>
      <c r="D178" s="487">
        <v>0</v>
      </c>
      <c r="E178" s="487"/>
      <c r="F178" s="487"/>
      <c r="G178" s="517">
        <v>3048</v>
      </c>
    </row>
    <row r="179" spans="1:8" ht="12.75" customHeight="1" x14ac:dyDescent="0.2">
      <c r="A179" s="389"/>
      <c r="B179" s="516" t="s">
        <v>457</v>
      </c>
      <c r="C179" s="486"/>
      <c r="D179" s="487">
        <v>0</v>
      </c>
      <c r="E179" s="487"/>
      <c r="F179" s="487"/>
      <c r="G179" s="517" t="s">
        <v>484</v>
      </c>
    </row>
    <row r="180" spans="1:8" ht="12.75" customHeight="1" x14ac:dyDescent="0.2">
      <c r="A180" s="389"/>
      <c r="B180" s="516" t="s">
        <v>458</v>
      </c>
      <c r="C180" s="486"/>
      <c r="D180" s="487">
        <v>10540.52</v>
      </c>
      <c r="E180" s="487"/>
      <c r="F180" s="487"/>
      <c r="G180" s="517" t="s">
        <v>485</v>
      </c>
    </row>
    <row r="181" spans="1:8" ht="12.75" customHeight="1" x14ac:dyDescent="0.2">
      <c r="A181" s="389"/>
      <c r="B181" s="516" t="s">
        <v>501</v>
      </c>
      <c r="C181" s="486"/>
      <c r="D181" s="487">
        <v>0</v>
      </c>
      <c r="E181" s="487"/>
      <c r="F181" s="487"/>
      <c r="G181" s="517">
        <v>3051</v>
      </c>
    </row>
    <row r="182" spans="1:8" ht="12.75" customHeight="1" x14ac:dyDescent="0.2">
      <c r="A182" s="389"/>
      <c r="B182" s="516" t="s">
        <v>459</v>
      </c>
      <c r="C182" s="486"/>
      <c r="D182" s="487">
        <v>0</v>
      </c>
      <c r="E182" s="487"/>
      <c r="F182" s="487"/>
      <c r="G182" s="517" t="s">
        <v>486</v>
      </c>
    </row>
    <row r="183" spans="1:8" ht="12.75" customHeight="1" x14ac:dyDescent="0.2">
      <c r="A183" s="389"/>
      <c r="B183" s="516" t="s">
        <v>502</v>
      </c>
      <c r="C183" s="486"/>
      <c r="D183" s="487">
        <v>36854.449999999997</v>
      </c>
      <c r="E183" s="487"/>
      <c r="F183" s="487"/>
      <c r="G183" s="517">
        <v>3056</v>
      </c>
    </row>
    <row r="184" spans="1:8" ht="12.75" customHeight="1" x14ac:dyDescent="0.2">
      <c r="A184" s="389"/>
      <c r="B184" s="516" t="s">
        <v>460</v>
      </c>
      <c r="C184" s="486"/>
      <c r="D184" s="487">
        <v>0</v>
      </c>
      <c r="E184" s="487"/>
      <c r="F184" s="487"/>
      <c r="G184" s="517">
        <v>3057</v>
      </c>
    </row>
    <row r="185" spans="1:8" ht="12.75" customHeight="1" x14ac:dyDescent="0.2">
      <c r="A185" s="389"/>
      <c r="B185" s="516" t="s">
        <v>461</v>
      </c>
      <c r="C185" s="486"/>
      <c r="D185" s="487">
        <v>58119.02</v>
      </c>
      <c r="E185" s="487"/>
      <c r="F185" s="487"/>
      <c r="G185" s="517" t="s">
        <v>488</v>
      </c>
    </row>
    <row r="186" spans="1:8" ht="12.75" customHeight="1" x14ac:dyDescent="0.2">
      <c r="A186" s="389"/>
      <c r="B186" s="516" t="s">
        <v>462</v>
      </c>
      <c r="C186" s="486"/>
      <c r="D186" s="487">
        <v>9548.4699999999993</v>
      </c>
      <c r="E186" s="487"/>
      <c r="F186" s="487"/>
      <c r="G186" s="517" t="s">
        <v>489</v>
      </c>
    </row>
    <row r="187" spans="1:8" ht="12.75" customHeight="1" x14ac:dyDescent="0.2">
      <c r="A187" s="389"/>
      <c r="B187" s="516" t="s">
        <v>499</v>
      </c>
      <c r="C187" s="486"/>
      <c r="D187" s="487">
        <v>990.75</v>
      </c>
      <c r="E187" s="487"/>
      <c r="F187" s="487"/>
      <c r="G187" s="517">
        <v>3061</v>
      </c>
    </row>
    <row r="188" spans="1:8" ht="12.75" customHeight="1" x14ac:dyDescent="0.2">
      <c r="A188" s="389"/>
      <c r="B188" s="516" t="s">
        <v>463</v>
      </c>
      <c r="C188" s="486"/>
      <c r="D188" s="487">
        <v>0</v>
      </c>
      <c r="E188" s="487"/>
      <c r="F188" s="487"/>
      <c r="G188" s="517" t="s">
        <v>490</v>
      </c>
    </row>
    <row r="189" spans="1:8" ht="12.75" customHeight="1" x14ac:dyDescent="0.2">
      <c r="A189" s="389"/>
      <c r="B189" s="516" t="s">
        <v>512</v>
      </c>
      <c r="C189" s="486"/>
      <c r="D189" s="487">
        <v>6722.86</v>
      </c>
      <c r="E189" s="487"/>
      <c r="F189" s="487"/>
      <c r="G189" s="517">
        <v>3065</v>
      </c>
    </row>
    <row r="190" spans="1:8" ht="12.75" customHeight="1" x14ac:dyDescent="0.2">
      <c r="A190" s="389"/>
      <c r="B190" s="516" t="s">
        <v>464</v>
      </c>
      <c r="C190" s="486"/>
      <c r="D190" s="487">
        <v>623.57000000000005</v>
      </c>
      <c r="E190" s="487"/>
      <c r="F190" s="487"/>
      <c r="G190" s="517" t="s">
        <v>491</v>
      </c>
    </row>
    <row r="191" spans="1:8" ht="12.75" customHeight="1" x14ac:dyDescent="0.2">
      <c r="A191" s="389"/>
      <c r="B191" s="516" t="s">
        <v>465</v>
      </c>
      <c r="C191" s="486"/>
      <c r="D191" s="487">
        <v>111910</v>
      </c>
      <c r="E191" s="487"/>
      <c r="F191" s="487"/>
      <c r="G191" s="517" t="s">
        <v>492</v>
      </c>
      <c r="H191" s="489"/>
    </row>
    <row r="192" spans="1:8" ht="12.75" customHeight="1" x14ac:dyDescent="0.2">
      <c r="A192" s="389"/>
      <c r="B192" s="516" t="s">
        <v>466</v>
      </c>
      <c r="C192" s="486"/>
      <c r="D192" s="487">
        <v>8712.67</v>
      </c>
      <c r="E192" s="487"/>
      <c r="F192" s="487"/>
      <c r="G192" s="517">
        <v>3068</v>
      </c>
      <c r="H192" s="489"/>
    </row>
    <row r="193" spans="1:12" ht="12.75" customHeight="1" x14ac:dyDescent="0.2">
      <c r="A193" s="389"/>
      <c r="B193" s="516" t="s">
        <v>467</v>
      </c>
      <c r="C193" s="486"/>
      <c r="D193" s="487">
        <v>169.3</v>
      </c>
      <c r="E193" s="487"/>
      <c r="F193" s="487"/>
      <c r="G193" s="517">
        <v>3069</v>
      </c>
      <c r="H193" s="489"/>
    </row>
    <row r="194" spans="1:12" ht="12.75" customHeight="1" x14ac:dyDescent="0.2">
      <c r="A194" s="389"/>
      <c r="B194" s="516" t="s">
        <v>503</v>
      </c>
      <c r="C194" s="486"/>
      <c r="D194" s="487">
        <v>0</v>
      </c>
      <c r="E194" s="487"/>
      <c r="F194" s="487"/>
      <c r="G194" s="517">
        <v>3073</v>
      </c>
    </row>
    <row r="195" spans="1:12" ht="12.75" customHeight="1" x14ac:dyDescent="0.2">
      <c r="A195" s="389"/>
      <c r="B195" s="516"/>
      <c r="C195" s="486"/>
      <c r="D195" s="487"/>
      <c r="E195" s="487"/>
      <c r="F195" s="487"/>
      <c r="G195" s="517"/>
      <c r="H195" s="489"/>
    </row>
    <row r="196" spans="1:12" ht="12.75" customHeight="1" x14ac:dyDescent="0.2">
      <c r="A196" s="389"/>
      <c r="B196" s="516"/>
      <c r="C196" s="486"/>
      <c r="D196" s="487"/>
      <c r="E196" s="487"/>
      <c r="F196" s="487"/>
      <c r="G196" s="524"/>
      <c r="H196" s="489"/>
    </row>
    <row r="197" spans="1:12" ht="12.75" customHeight="1" x14ac:dyDescent="0.2">
      <c r="A197" s="389"/>
      <c r="B197" s="488"/>
      <c r="C197" s="515"/>
      <c r="D197" s="487"/>
      <c r="E197" s="487"/>
      <c r="F197" s="487"/>
    </row>
    <row r="198" spans="1:12" ht="12.75" customHeight="1" x14ac:dyDescent="0.2">
      <c r="A198" s="389"/>
      <c r="B198" s="519" t="s">
        <v>248</v>
      </c>
      <c r="D198" s="487">
        <v>300168.89</v>
      </c>
      <c r="E198" s="518">
        <f>SUM(D198)</f>
        <v>300168.89</v>
      </c>
      <c r="F198" s="487"/>
      <c r="G198" s="477">
        <v>3001</v>
      </c>
      <c r="H198" s="489"/>
    </row>
    <row r="199" spans="1:12" ht="12.75" customHeight="1" x14ac:dyDescent="0.2">
      <c r="A199" s="389"/>
      <c r="B199" s="520" t="s">
        <v>345</v>
      </c>
      <c r="C199" s="491"/>
      <c r="D199" s="487"/>
      <c r="E199" s="518">
        <f>SUM(D200:D205)</f>
        <v>992858.40000000014</v>
      </c>
      <c r="F199" s="487"/>
    </row>
    <row r="200" spans="1:12" ht="12.75" customHeight="1" x14ac:dyDescent="0.2">
      <c r="A200" s="389"/>
      <c r="B200" s="488"/>
      <c r="C200" s="490" t="s">
        <v>249</v>
      </c>
      <c r="D200" s="487">
        <v>59552.41</v>
      </c>
      <c r="E200" s="487"/>
      <c r="F200" s="487"/>
      <c r="G200" s="477">
        <v>4000</v>
      </c>
    </row>
    <row r="201" spans="1:12" ht="12.75" customHeight="1" x14ac:dyDescent="0.2">
      <c r="A201" s="389"/>
      <c r="B201" s="488"/>
      <c r="C201" s="490" t="s">
        <v>250</v>
      </c>
      <c r="D201" s="487">
        <v>0</v>
      </c>
      <c r="E201" s="487"/>
      <c r="F201" s="487"/>
      <c r="G201" s="477">
        <v>4001</v>
      </c>
    </row>
    <row r="202" spans="1:12" ht="12.75" customHeight="1" x14ac:dyDescent="0.2">
      <c r="A202" s="389"/>
      <c r="B202" s="488"/>
      <c r="C202" s="490" t="s">
        <v>251</v>
      </c>
      <c r="D202" s="487">
        <v>796492.65</v>
      </c>
      <c r="E202" s="487"/>
      <c r="F202" s="487"/>
    </row>
    <row r="203" spans="1:12" ht="12.75" customHeight="1" x14ac:dyDescent="0.2">
      <c r="A203" s="389"/>
      <c r="B203" s="488"/>
      <c r="C203" s="490" t="s">
        <v>252</v>
      </c>
      <c r="D203" s="487">
        <v>1712.06</v>
      </c>
      <c r="E203" s="487"/>
      <c r="F203" s="487"/>
    </row>
    <row r="204" spans="1:12" ht="12.75" customHeight="1" x14ac:dyDescent="0.2">
      <c r="A204" s="389"/>
      <c r="B204" s="488"/>
      <c r="C204" s="491" t="s">
        <v>253</v>
      </c>
      <c r="D204" s="487">
        <v>107439.81</v>
      </c>
      <c r="E204" s="487"/>
      <c r="F204" s="487"/>
      <c r="G204" s="477">
        <v>4004</v>
      </c>
    </row>
    <row r="205" spans="1:12" ht="12.75" customHeight="1" x14ac:dyDescent="0.2">
      <c r="A205" s="389"/>
      <c r="B205" s="488"/>
      <c r="C205" s="491" t="s">
        <v>114</v>
      </c>
      <c r="D205" s="487">
        <v>27661.47</v>
      </c>
      <c r="E205" s="487"/>
      <c r="F205" s="487"/>
      <c r="G205" s="477">
        <v>4005</v>
      </c>
    </row>
    <row r="206" spans="1:12" ht="12.75" customHeight="1" x14ac:dyDescent="0.2">
      <c r="A206" s="492"/>
      <c r="B206" s="520" t="s">
        <v>770</v>
      </c>
      <c r="C206" s="491"/>
      <c r="D206" s="487">
        <f>9852.44*0</f>
        <v>0</v>
      </c>
      <c r="E206" s="518">
        <f>D206</f>
        <v>0</v>
      </c>
      <c r="F206" s="495"/>
      <c r="G206" s="814" t="s">
        <v>771</v>
      </c>
      <c r="H206" s="477" t="s">
        <v>801</v>
      </c>
    </row>
    <row r="207" spans="1:12" ht="12.75" customHeight="1" x14ac:dyDescent="0.2">
      <c r="A207" s="492"/>
      <c r="B207" s="522" t="s">
        <v>255</v>
      </c>
      <c r="D207" s="487">
        <v>0</v>
      </c>
      <c r="E207" s="521">
        <f>D207</f>
        <v>0</v>
      </c>
      <c r="F207" s="495"/>
      <c r="G207" s="453" t="s">
        <v>773</v>
      </c>
      <c r="L207" s="489"/>
    </row>
    <row r="208" spans="1:12" ht="12.75" customHeight="1" thickBot="1" x14ac:dyDescent="0.25">
      <c r="A208" s="496"/>
      <c r="B208" s="497"/>
      <c r="C208" s="498"/>
      <c r="D208" s="499"/>
      <c r="E208" s="500"/>
      <c r="F208" s="889">
        <f>SUM(E153:E207)</f>
        <v>2460350.38</v>
      </c>
      <c r="H208" s="501">
        <f>'Sched-B1'!B7+'Sched-B2'!E71+'Sched-D1'!F208-14266592.09-836707.97</f>
        <v>-1.1641532182693481E-9</v>
      </c>
      <c r="L208" s="489"/>
    </row>
    <row r="209" spans="1:12" ht="12.75" customHeight="1" x14ac:dyDescent="0.2">
      <c r="A209" s="482" t="s">
        <v>506</v>
      </c>
      <c r="B209" s="611" t="s">
        <v>652</v>
      </c>
      <c r="C209" s="483"/>
      <c r="D209" s="484">
        <v>2178.9299999999998</v>
      </c>
      <c r="E209" s="600">
        <f>D209</f>
        <v>2178.9299999999998</v>
      </c>
      <c r="F209" s="485"/>
      <c r="G209" s="517" t="s">
        <v>654</v>
      </c>
      <c r="L209" s="489"/>
    </row>
    <row r="210" spans="1:12" ht="12.75" customHeight="1" x14ac:dyDescent="0.2">
      <c r="A210" s="389"/>
      <c r="B210" s="514" t="s">
        <v>440</v>
      </c>
      <c r="C210" s="486"/>
      <c r="D210" s="487"/>
      <c r="E210" s="518">
        <f>SUM(D210:D255)</f>
        <v>6000539.669999999</v>
      </c>
      <c r="F210" s="487"/>
      <c r="H210" s="489">
        <f>E210+H211</f>
        <v>6000539.669999999</v>
      </c>
    </row>
    <row r="211" spans="1:12" ht="12.75" customHeight="1" x14ac:dyDescent="0.2">
      <c r="A211" s="389"/>
      <c r="B211" s="525" t="s">
        <v>679</v>
      </c>
      <c r="C211" s="486"/>
      <c r="D211" s="487">
        <v>0</v>
      </c>
      <c r="E211" s="518"/>
      <c r="F211" s="487"/>
      <c r="H211" s="570">
        <v>0</v>
      </c>
      <c r="I211" s="477" t="s">
        <v>840</v>
      </c>
      <c r="L211" s="489"/>
    </row>
    <row r="212" spans="1:12" ht="12.75" customHeight="1" x14ac:dyDescent="0.2">
      <c r="A212" s="389"/>
      <c r="B212" s="516" t="s">
        <v>441</v>
      </c>
      <c r="C212" s="486"/>
      <c r="D212" s="487">
        <v>8960.25</v>
      </c>
      <c r="E212" s="487"/>
      <c r="F212" s="487"/>
      <c r="G212" s="517" t="s">
        <v>468</v>
      </c>
    </row>
    <row r="213" spans="1:12" ht="12.75" customHeight="1" x14ac:dyDescent="0.2">
      <c r="A213" s="389"/>
      <c r="B213" s="516" t="s">
        <v>802</v>
      </c>
      <c r="C213" s="486"/>
      <c r="D213" s="487">
        <v>0</v>
      </c>
      <c r="E213" s="487"/>
      <c r="F213" s="487"/>
      <c r="G213" s="517">
        <v>3001</v>
      </c>
    </row>
    <row r="214" spans="1:12" ht="12.75" customHeight="1" x14ac:dyDescent="0.2">
      <c r="A214" s="389"/>
      <c r="B214" s="516" t="s">
        <v>442</v>
      </c>
      <c r="C214" s="486"/>
      <c r="D214" s="487">
        <v>780</v>
      </c>
      <c r="E214" s="487"/>
      <c r="F214" s="487"/>
      <c r="G214" s="517" t="s">
        <v>469</v>
      </c>
    </row>
    <row r="215" spans="1:12" ht="12.75" customHeight="1" x14ac:dyDescent="0.2">
      <c r="A215" s="389"/>
      <c r="B215" s="516" t="s">
        <v>500</v>
      </c>
      <c r="C215" s="486"/>
      <c r="D215" s="487">
        <v>20448</v>
      </c>
      <c r="E215" s="487"/>
      <c r="F215" s="487"/>
      <c r="G215" s="517">
        <v>3003</v>
      </c>
    </row>
    <row r="216" spans="1:12" ht="12.75" customHeight="1" x14ac:dyDescent="0.2">
      <c r="A216" s="389"/>
      <c r="B216" s="516" t="s">
        <v>772</v>
      </c>
      <c r="C216" s="486"/>
      <c r="D216" s="487">
        <v>75</v>
      </c>
      <c r="E216" s="487"/>
      <c r="F216" s="487"/>
      <c r="G216" s="517">
        <v>3005</v>
      </c>
    </row>
    <row r="217" spans="1:12" ht="12.75" customHeight="1" x14ac:dyDescent="0.2">
      <c r="A217" s="389"/>
      <c r="B217" s="516" t="s">
        <v>443</v>
      </c>
      <c r="C217" s="486"/>
      <c r="D217" s="487">
        <v>17603</v>
      </c>
      <c r="E217" s="487"/>
      <c r="F217" s="487"/>
      <c r="G217" s="517" t="s">
        <v>470</v>
      </c>
    </row>
    <row r="218" spans="1:12" ht="12.75" customHeight="1" x14ac:dyDescent="0.2">
      <c r="A218" s="389"/>
      <c r="B218" s="516" t="s">
        <v>511</v>
      </c>
      <c r="C218" s="486"/>
      <c r="D218" s="487">
        <v>0</v>
      </c>
      <c r="E218" s="487"/>
      <c r="F218" s="487"/>
      <c r="G218" s="517">
        <v>3014</v>
      </c>
    </row>
    <row r="219" spans="1:12" ht="12.75" customHeight="1" x14ac:dyDescent="0.2">
      <c r="A219" s="389"/>
      <c r="B219" s="516" t="s">
        <v>444</v>
      </c>
      <c r="C219" s="486"/>
      <c r="D219" s="487">
        <v>0</v>
      </c>
      <c r="E219" s="487"/>
      <c r="F219" s="487"/>
      <c r="G219" s="517" t="s">
        <v>471</v>
      </c>
    </row>
    <row r="220" spans="1:12" ht="12.75" customHeight="1" x14ac:dyDescent="0.2">
      <c r="A220" s="389"/>
      <c r="B220" s="516" t="s">
        <v>445</v>
      </c>
      <c r="C220" s="486"/>
      <c r="D220" s="487">
        <v>0</v>
      </c>
      <c r="E220" s="487"/>
      <c r="F220" s="487"/>
      <c r="G220" s="517" t="s">
        <v>472</v>
      </c>
    </row>
    <row r="221" spans="1:12" ht="12.75" customHeight="1" x14ac:dyDescent="0.2">
      <c r="A221" s="389"/>
      <c r="B221" s="525" t="s">
        <v>50</v>
      </c>
      <c r="C221" s="486"/>
      <c r="D221" s="487">
        <v>3768857.48</v>
      </c>
      <c r="E221" s="487"/>
      <c r="F221" s="487"/>
      <c r="G221" s="517"/>
    </row>
    <row r="222" spans="1:12" ht="12.75" customHeight="1" x14ac:dyDescent="0.2">
      <c r="A222" s="389"/>
      <c r="B222" s="516" t="s">
        <v>774</v>
      </c>
      <c r="C222" s="486"/>
      <c r="D222" s="487">
        <v>0</v>
      </c>
      <c r="E222" s="487"/>
      <c r="F222" s="487"/>
      <c r="G222" s="517">
        <v>3023</v>
      </c>
    </row>
    <row r="223" spans="1:12" ht="12.75" customHeight="1" x14ac:dyDescent="0.2">
      <c r="A223" s="389"/>
      <c r="B223" s="516" t="s">
        <v>505</v>
      </c>
      <c r="C223" s="486"/>
      <c r="D223" s="487">
        <v>0</v>
      </c>
      <c r="E223" s="487"/>
      <c r="F223" s="487"/>
      <c r="G223" s="517">
        <v>3029</v>
      </c>
    </row>
    <row r="224" spans="1:12" ht="12.75" customHeight="1" x14ac:dyDescent="0.2">
      <c r="A224" s="389"/>
      <c r="B224" s="516" t="s">
        <v>446</v>
      </c>
      <c r="C224" s="486"/>
      <c r="D224" s="487">
        <v>1215.79</v>
      </c>
      <c r="E224" s="487"/>
      <c r="F224" s="487"/>
      <c r="G224" s="517" t="s">
        <v>473</v>
      </c>
    </row>
    <row r="225" spans="1:7" ht="12.75" customHeight="1" x14ac:dyDescent="0.2">
      <c r="A225" s="389"/>
      <c r="B225" s="516" t="s">
        <v>447</v>
      </c>
      <c r="C225" s="486"/>
      <c r="D225" s="487">
        <v>2949</v>
      </c>
      <c r="E225" s="487"/>
      <c r="F225" s="487"/>
      <c r="G225" s="517" t="s">
        <v>474</v>
      </c>
    </row>
    <row r="226" spans="1:7" ht="12.75" customHeight="1" x14ac:dyDescent="0.2">
      <c r="A226" s="389"/>
      <c r="B226" s="516" t="s">
        <v>497</v>
      </c>
      <c r="C226" s="486"/>
      <c r="D226" s="487">
        <v>0</v>
      </c>
      <c r="E226" s="487"/>
      <c r="F226" s="487"/>
      <c r="G226" s="517">
        <v>3034</v>
      </c>
    </row>
    <row r="227" spans="1:7" ht="12.75" customHeight="1" x14ac:dyDescent="0.2">
      <c r="A227" s="389"/>
      <c r="B227" s="516" t="s">
        <v>448</v>
      </c>
      <c r="C227" s="486"/>
      <c r="D227" s="487">
        <v>3988.17</v>
      </c>
      <c r="E227" s="487"/>
      <c r="F227" s="487"/>
      <c r="G227" s="517" t="s">
        <v>475</v>
      </c>
    </row>
    <row r="228" spans="1:7" ht="12.75" customHeight="1" x14ac:dyDescent="0.2">
      <c r="A228" s="389"/>
      <c r="B228" s="516" t="s">
        <v>449</v>
      </c>
      <c r="C228" s="486"/>
      <c r="D228" s="487">
        <v>30611.53</v>
      </c>
      <c r="E228" s="487"/>
      <c r="F228" s="487"/>
      <c r="G228" s="517" t="s">
        <v>476</v>
      </c>
    </row>
    <row r="229" spans="1:7" ht="12.75" customHeight="1" x14ac:dyDescent="0.2">
      <c r="A229" s="389"/>
      <c r="B229" s="516" t="s">
        <v>450</v>
      </c>
      <c r="C229" s="486"/>
      <c r="D229" s="487">
        <v>1847.76</v>
      </c>
      <c r="E229" s="487"/>
      <c r="F229" s="487"/>
      <c r="G229" s="517" t="s">
        <v>477</v>
      </c>
    </row>
    <row r="230" spans="1:7" ht="12.75" customHeight="1" x14ac:dyDescent="0.2">
      <c r="A230" s="389"/>
      <c r="B230" s="516" t="s">
        <v>451</v>
      </c>
      <c r="C230" s="486"/>
      <c r="D230" s="487">
        <v>2104.5700000000002</v>
      </c>
      <c r="E230" s="487"/>
      <c r="F230" s="487"/>
      <c r="G230" s="517" t="s">
        <v>478</v>
      </c>
    </row>
    <row r="231" spans="1:7" ht="12.75" customHeight="1" x14ac:dyDescent="0.2">
      <c r="A231" s="389"/>
      <c r="B231" s="516" t="s">
        <v>514</v>
      </c>
      <c r="C231" s="486"/>
      <c r="D231" s="487">
        <v>920</v>
      </c>
      <c r="E231" s="487"/>
      <c r="F231" s="487"/>
      <c r="G231" s="517">
        <v>3039</v>
      </c>
    </row>
    <row r="232" spans="1:7" ht="12.75" customHeight="1" x14ac:dyDescent="0.2">
      <c r="A232" s="389"/>
      <c r="B232" s="516" t="s">
        <v>452</v>
      </c>
      <c r="C232" s="486"/>
      <c r="D232" s="487">
        <v>0</v>
      </c>
      <c r="E232" s="487"/>
      <c r="F232" s="487"/>
      <c r="G232" s="517" t="s">
        <v>479</v>
      </c>
    </row>
    <row r="233" spans="1:7" ht="12.75" customHeight="1" x14ac:dyDescent="0.2">
      <c r="A233" s="389"/>
      <c r="B233" s="516" t="s">
        <v>453</v>
      </c>
      <c r="C233" s="486"/>
      <c r="D233" s="487">
        <v>1420.26</v>
      </c>
      <c r="E233" s="487"/>
      <c r="F233" s="487"/>
      <c r="G233" s="517" t="s">
        <v>480</v>
      </c>
    </row>
    <row r="234" spans="1:7" ht="12.75" customHeight="1" x14ac:dyDescent="0.2">
      <c r="A234" s="389"/>
      <c r="B234" s="516" t="s">
        <v>507</v>
      </c>
      <c r="C234" s="486"/>
      <c r="D234" s="487">
        <v>0</v>
      </c>
      <c r="E234" s="487"/>
      <c r="F234" s="487"/>
      <c r="G234" s="517">
        <v>3042</v>
      </c>
    </row>
    <row r="235" spans="1:7" ht="12.75" customHeight="1" x14ac:dyDescent="0.2">
      <c r="A235" s="389"/>
      <c r="B235" s="516" t="s">
        <v>454</v>
      </c>
      <c r="C235" s="486"/>
      <c r="D235" s="487">
        <v>0</v>
      </c>
      <c r="E235" s="487"/>
      <c r="F235" s="487"/>
      <c r="G235" s="517" t="s">
        <v>481</v>
      </c>
    </row>
    <row r="236" spans="1:7" ht="12.75" customHeight="1" x14ac:dyDescent="0.2">
      <c r="A236" s="389"/>
      <c r="B236" s="516" t="s">
        <v>455</v>
      </c>
      <c r="C236" s="486"/>
      <c r="D236" s="487">
        <v>0</v>
      </c>
      <c r="E236" s="487"/>
      <c r="F236" s="487"/>
      <c r="G236" s="517" t="s">
        <v>482</v>
      </c>
    </row>
    <row r="237" spans="1:7" ht="12.75" customHeight="1" x14ac:dyDescent="0.2">
      <c r="A237" s="389"/>
      <c r="B237" s="516" t="s">
        <v>456</v>
      </c>
      <c r="C237" s="486"/>
      <c r="D237" s="487">
        <v>42073.61</v>
      </c>
      <c r="E237" s="487"/>
      <c r="F237" s="487"/>
      <c r="G237" s="517" t="s">
        <v>483</v>
      </c>
    </row>
    <row r="238" spans="1:7" ht="12.75" customHeight="1" x14ac:dyDescent="0.2">
      <c r="A238" s="389"/>
      <c r="B238" s="516" t="s">
        <v>498</v>
      </c>
      <c r="C238" s="486"/>
      <c r="D238" s="487">
        <v>97370.72</v>
      </c>
      <c r="E238" s="487"/>
      <c r="F238" s="487"/>
      <c r="G238" s="517">
        <v>3048</v>
      </c>
    </row>
    <row r="239" spans="1:7" ht="12.75" customHeight="1" x14ac:dyDescent="0.2">
      <c r="A239" s="389"/>
      <c r="B239" s="516" t="s">
        <v>457</v>
      </c>
      <c r="C239" s="486"/>
      <c r="D239" s="487">
        <v>0</v>
      </c>
      <c r="E239" s="487"/>
      <c r="F239" s="487"/>
      <c r="G239" s="517" t="s">
        <v>484</v>
      </c>
    </row>
    <row r="240" spans="1:7" ht="12.75" customHeight="1" x14ac:dyDescent="0.2">
      <c r="A240" s="389"/>
      <c r="B240" s="516" t="s">
        <v>458</v>
      </c>
      <c r="C240" s="486"/>
      <c r="D240" s="487">
        <v>0</v>
      </c>
      <c r="E240" s="487"/>
      <c r="F240" s="487"/>
      <c r="G240" s="517" t="s">
        <v>485</v>
      </c>
    </row>
    <row r="241" spans="1:8" ht="12.75" customHeight="1" x14ac:dyDescent="0.2">
      <c r="A241" s="389"/>
      <c r="B241" s="516" t="s">
        <v>501</v>
      </c>
      <c r="C241" s="486"/>
      <c r="D241" s="487">
        <v>50.25</v>
      </c>
      <c r="E241" s="487"/>
      <c r="F241" s="487"/>
      <c r="G241" s="517">
        <v>3051</v>
      </c>
    </row>
    <row r="242" spans="1:8" ht="12.75" customHeight="1" x14ac:dyDescent="0.2">
      <c r="A242" s="389"/>
      <c r="B242" s="516" t="s">
        <v>459</v>
      </c>
      <c r="C242" s="486"/>
      <c r="D242" s="487">
        <v>32955.5</v>
      </c>
      <c r="E242" s="487"/>
      <c r="F242" s="487"/>
      <c r="G242" s="517" t="s">
        <v>486</v>
      </c>
    </row>
    <row r="243" spans="1:8" ht="12.75" customHeight="1" x14ac:dyDescent="0.2">
      <c r="A243" s="389"/>
      <c r="B243" s="516" t="s">
        <v>502</v>
      </c>
      <c r="C243" s="486"/>
      <c r="D243" s="487">
        <v>0</v>
      </c>
      <c r="E243" s="487"/>
      <c r="F243" s="487"/>
      <c r="G243" s="517">
        <v>3056</v>
      </c>
    </row>
    <row r="244" spans="1:8" ht="12.75" customHeight="1" x14ac:dyDescent="0.2">
      <c r="A244" s="389"/>
      <c r="B244" s="516" t="s">
        <v>460</v>
      </c>
      <c r="C244" s="486"/>
      <c r="D244" s="487">
        <v>1224476.6399999999</v>
      </c>
      <c r="E244" s="487"/>
      <c r="F244" s="487"/>
      <c r="G244" s="517">
        <v>3057</v>
      </c>
    </row>
    <row r="245" spans="1:8" ht="12.75" customHeight="1" x14ac:dyDescent="0.2">
      <c r="A245" s="389"/>
      <c r="B245" s="516" t="s">
        <v>461</v>
      </c>
      <c r="C245" s="486"/>
      <c r="D245" s="487">
        <v>106321.9</v>
      </c>
      <c r="E245" s="487"/>
      <c r="F245" s="487"/>
      <c r="G245" s="517" t="s">
        <v>488</v>
      </c>
    </row>
    <row r="246" spans="1:8" ht="12.75" customHeight="1" x14ac:dyDescent="0.2">
      <c r="A246" s="389"/>
      <c r="B246" s="516" t="s">
        <v>462</v>
      </c>
      <c r="C246" s="486"/>
      <c r="D246" s="487">
        <v>128711.71</v>
      </c>
      <c r="E246" s="487"/>
      <c r="F246" s="487"/>
      <c r="G246" s="517" t="s">
        <v>489</v>
      </c>
    </row>
    <row r="247" spans="1:8" ht="12.75" customHeight="1" x14ac:dyDescent="0.2">
      <c r="A247" s="389"/>
      <c r="B247" s="516" t="s">
        <v>499</v>
      </c>
      <c r="C247" s="486"/>
      <c r="D247" s="487">
        <v>0</v>
      </c>
      <c r="E247" s="487"/>
      <c r="F247" s="487"/>
      <c r="G247" s="517">
        <v>3061</v>
      </c>
    </row>
    <row r="248" spans="1:8" ht="12.75" customHeight="1" x14ac:dyDescent="0.2">
      <c r="A248" s="389"/>
      <c r="B248" s="516" t="s">
        <v>508</v>
      </c>
      <c r="C248" s="486"/>
      <c r="D248" s="487">
        <v>8.8800000000000008</v>
      </c>
      <c r="E248" s="487"/>
      <c r="F248" s="487"/>
      <c r="G248" s="517">
        <v>3063</v>
      </c>
    </row>
    <row r="249" spans="1:8" ht="12.75" customHeight="1" x14ac:dyDescent="0.2">
      <c r="A249" s="389"/>
      <c r="B249" s="516" t="s">
        <v>463</v>
      </c>
      <c r="C249" s="486"/>
      <c r="D249" s="487">
        <v>10.77</v>
      </c>
      <c r="E249" s="487"/>
      <c r="F249" s="487"/>
      <c r="G249" s="517" t="s">
        <v>490</v>
      </c>
    </row>
    <row r="250" spans="1:8" ht="12.75" customHeight="1" x14ac:dyDescent="0.2">
      <c r="A250" s="389"/>
      <c r="B250" s="516" t="s">
        <v>512</v>
      </c>
      <c r="C250" s="486"/>
      <c r="D250" s="487">
        <v>0</v>
      </c>
      <c r="E250" s="487"/>
      <c r="F250" s="487"/>
      <c r="G250" s="517">
        <v>3065</v>
      </c>
    </row>
    <row r="251" spans="1:8" ht="12.75" customHeight="1" x14ac:dyDescent="0.2">
      <c r="A251" s="389"/>
      <c r="B251" s="516" t="s">
        <v>464</v>
      </c>
      <c r="C251" s="486"/>
      <c r="D251" s="487">
        <v>9700</v>
      </c>
      <c r="E251" s="487"/>
      <c r="F251" s="487"/>
      <c r="G251" s="517" t="s">
        <v>491</v>
      </c>
    </row>
    <row r="252" spans="1:8" ht="12.75" customHeight="1" x14ac:dyDescent="0.2">
      <c r="A252" s="389"/>
      <c r="B252" s="516" t="s">
        <v>465</v>
      </c>
      <c r="C252" s="486"/>
      <c r="D252" s="487">
        <v>496000.76</v>
      </c>
      <c r="E252" s="487"/>
      <c r="F252" s="487"/>
      <c r="G252" s="517" t="s">
        <v>492</v>
      </c>
      <c r="H252" s="489"/>
    </row>
    <row r="253" spans="1:8" ht="12.75" customHeight="1" x14ac:dyDescent="0.2">
      <c r="A253" s="389"/>
      <c r="B253" s="516" t="s">
        <v>466</v>
      </c>
      <c r="C253" s="486"/>
      <c r="D253" s="487">
        <v>913.82</v>
      </c>
      <c r="E253" s="487"/>
      <c r="F253" s="487"/>
      <c r="G253" s="517">
        <v>3068</v>
      </c>
      <c r="H253" s="489"/>
    </row>
    <row r="254" spans="1:8" ht="12.75" customHeight="1" x14ac:dyDescent="0.2">
      <c r="A254" s="389"/>
      <c r="B254" s="516" t="s">
        <v>467</v>
      </c>
      <c r="C254" s="486"/>
      <c r="D254" s="487">
        <v>164.3</v>
      </c>
      <c r="E254" s="487"/>
      <c r="F254" s="487"/>
      <c r="G254" s="517">
        <v>3069</v>
      </c>
      <c r="H254" s="489"/>
    </row>
    <row r="255" spans="1:8" ht="12.75" customHeight="1" x14ac:dyDescent="0.2">
      <c r="A255" s="389"/>
      <c r="B255" s="516" t="s">
        <v>503</v>
      </c>
      <c r="C255" s="486"/>
      <c r="D255" s="487">
        <v>0</v>
      </c>
      <c r="E255" s="487"/>
      <c r="F255" s="487"/>
      <c r="G255" s="517">
        <v>3073</v>
      </c>
    </row>
    <row r="256" spans="1:8" ht="12.75" customHeight="1" x14ac:dyDescent="0.2">
      <c r="A256" s="389"/>
      <c r="B256" s="519" t="s">
        <v>248</v>
      </c>
      <c r="D256" s="487">
        <v>1131405.56</v>
      </c>
      <c r="E256" s="518">
        <f>SUM(D256)</f>
        <v>1131405.56</v>
      </c>
      <c r="F256" s="487"/>
      <c r="G256" s="477">
        <v>3001</v>
      </c>
      <c r="H256" s="489"/>
    </row>
    <row r="257" spans="1:11" ht="12.75" customHeight="1" x14ac:dyDescent="0.2">
      <c r="A257" s="389"/>
      <c r="B257" s="520" t="s">
        <v>345</v>
      </c>
      <c r="C257" s="491"/>
      <c r="D257" s="487"/>
      <c r="E257" s="518">
        <f>SUM(D258:D263)</f>
        <v>5034946.4799999995</v>
      </c>
      <c r="F257" s="487"/>
    </row>
    <row r="258" spans="1:11" ht="12.75" customHeight="1" x14ac:dyDescent="0.2">
      <c r="A258" s="389"/>
      <c r="B258" s="488"/>
      <c r="C258" s="490" t="s">
        <v>249</v>
      </c>
      <c r="D258" s="487">
        <v>168045.03</v>
      </c>
      <c r="E258" s="487"/>
      <c r="F258" s="487"/>
      <c r="G258" s="477">
        <v>4000</v>
      </c>
    </row>
    <row r="259" spans="1:11" ht="12.75" customHeight="1" x14ac:dyDescent="0.2">
      <c r="A259" s="389"/>
      <c r="B259" s="488"/>
      <c r="C259" s="490" t="s">
        <v>250</v>
      </c>
      <c r="D259" s="487">
        <v>555</v>
      </c>
      <c r="E259" s="487"/>
      <c r="F259" s="487"/>
      <c r="G259" s="477">
        <v>4001</v>
      </c>
    </row>
    <row r="260" spans="1:11" ht="12.75" customHeight="1" x14ac:dyDescent="0.2">
      <c r="A260" s="389"/>
      <c r="B260" s="488"/>
      <c r="C260" s="490" t="s">
        <v>251</v>
      </c>
      <c r="D260" s="487">
        <v>4429747.97</v>
      </c>
      <c r="E260" s="487"/>
      <c r="F260" s="487"/>
    </row>
    <row r="261" spans="1:11" ht="12.75" customHeight="1" x14ac:dyDescent="0.2">
      <c r="A261" s="389"/>
      <c r="B261" s="488"/>
      <c r="C261" s="490" t="s">
        <v>252</v>
      </c>
      <c r="D261" s="487">
        <v>29761.5</v>
      </c>
      <c r="E261" s="487"/>
      <c r="F261" s="487"/>
    </row>
    <row r="262" spans="1:11" ht="12.75" customHeight="1" x14ac:dyDescent="0.2">
      <c r="A262" s="389"/>
      <c r="B262" s="488"/>
      <c r="C262" s="491" t="s">
        <v>253</v>
      </c>
      <c r="D262" s="487">
        <v>92744.68</v>
      </c>
      <c r="E262" s="487"/>
      <c r="F262" s="487"/>
    </row>
    <row r="263" spans="1:11" ht="12.75" customHeight="1" x14ac:dyDescent="0.2">
      <c r="A263" s="389"/>
      <c r="B263" s="488"/>
      <c r="C263" s="491" t="s">
        <v>114</v>
      </c>
      <c r="D263" s="487">
        <v>314092.3</v>
      </c>
      <c r="E263" s="487"/>
      <c r="F263" s="487"/>
    </row>
    <row r="264" spans="1:11" ht="12.75" customHeight="1" x14ac:dyDescent="0.2">
      <c r="A264" s="492"/>
      <c r="B264" s="520" t="s">
        <v>651</v>
      </c>
      <c r="C264" s="491"/>
      <c r="D264" s="487">
        <v>0</v>
      </c>
      <c r="E264" s="518">
        <f>D264</f>
        <v>0</v>
      </c>
      <c r="F264" s="495"/>
    </row>
    <row r="265" spans="1:11" ht="12.75" customHeight="1" x14ac:dyDescent="0.2">
      <c r="A265" s="492"/>
      <c r="B265" s="522" t="s">
        <v>255</v>
      </c>
      <c r="D265" s="487">
        <v>0</v>
      </c>
      <c r="E265" s="521">
        <f>D265</f>
        <v>0</v>
      </c>
      <c r="F265" s="495"/>
      <c r="G265" s="477">
        <v>5000</v>
      </c>
    </row>
    <row r="266" spans="1:11" ht="12.75" customHeight="1" thickBot="1" x14ac:dyDescent="0.25">
      <c r="A266" s="496"/>
      <c r="B266" s="497"/>
      <c r="C266" s="498"/>
      <c r="D266" s="499"/>
      <c r="E266" s="500"/>
      <c r="F266" s="889">
        <f>SUM(E209:E265)</f>
        <v>12169070.639999997</v>
      </c>
      <c r="H266" s="501">
        <f>'Sched-B1'!B8+'Sched-B2'!E88+'Sched-D1'!F266-46313375.31-3768857.48</f>
        <v>-1.0710209608078003E-8</v>
      </c>
    </row>
    <row r="267" spans="1:11" ht="12.75" customHeight="1" x14ac:dyDescent="0.2">
      <c r="A267" s="482" t="s">
        <v>15</v>
      </c>
      <c r="B267" s="611" t="s">
        <v>652</v>
      </c>
      <c r="C267" s="483"/>
      <c r="D267" s="484">
        <f>81384.21+22039</f>
        <v>103423.21</v>
      </c>
      <c r="E267" s="600">
        <f>D267</f>
        <v>103423.21</v>
      </c>
      <c r="F267" s="485"/>
      <c r="G267" s="477">
        <v>2000</v>
      </c>
    </row>
    <row r="268" spans="1:11" ht="12.75" customHeight="1" x14ac:dyDescent="0.2">
      <c r="A268" s="389"/>
      <c r="B268" s="514" t="s">
        <v>440</v>
      </c>
      <c r="C268" s="486"/>
      <c r="D268" s="487"/>
      <c r="E268" s="518">
        <f>SUM(D268:D310)</f>
        <v>295154.73</v>
      </c>
      <c r="F268" s="487"/>
      <c r="H268" s="477" t="s">
        <v>841</v>
      </c>
    </row>
    <row r="269" spans="1:11" ht="12.75" customHeight="1" x14ac:dyDescent="0.2">
      <c r="A269" s="389"/>
      <c r="B269" s="516" t="s">
        <v>441</v>
      </c>
      <c r="C269" s="486"/>
      <c r="D269" s="487">
        <v>365</v>
      </c>
      <c r="E269" s="487"/>
      <c r="F269" s="487"/>
      <c r="G269" s="517" t="s">
        <v>468</v>
      </c>
    </row>
    <row r="270" spans="1:11" ht="12.75" customHeight="1" x14ac:dyDescent="0.2">
      <c r="A270" s="389"/>
      <c r="B270" s="516" t="s">
        <v>442</v>
      </c>
      <c r="C270" s="486"/>
      <c r="D270" s="487">
        <v>0</v>
      </c>
      <c r="E270" s="487"/>
      <c r="F270" s="487"/>
      <c r="G270" s="517" t="s">
        <v>469</v>
      </c>
    </row>
    <row r="271" spans="1:11" ht="12.75" customHeight="1" x14ac:dyDescent="0.2">
      <c r="A271" s="389"/>
      <c r="B271" s="516" t="s">
        <v>500</v>
      </c>
      <c r="C271" s="486"/>
      <c r="D271" s="487">
        <v>0</v>
      </c>
      <c r="E271" s="487"/>
      <c r="F271" s="487"/>
      <c r="G271" s="517">
        <v>3003</v>
      </c>
    </row>
    <row r="272" spans="1:11" ht="12.75" customHeight="1" x14ac:dyDescent="0.2">
      <c r="A272" s="389"/>
      <c r="B272" s="516" t="s">
        <v>443</v>
      </c>
      <c r="C272" s="486"/>
      <c r="D272" s="487">
        <v>0</v>
      </c>
      <c r="E272" s="487"/>
      <c r="F272" s="487"/>
      <c r="G272" s="517" t="s">
        <v>470</v>
      </c>
      <c r="K272" s="489"/>
    </row>
    <row r="273" spans="1:7" ht="12.75" customHeight="1" x14ac:dyDescent="0.2">
      <c r="A273" s="389"/>
      <c r="B273" s="516" t="s">
        <v>511</v>
      </c>
      <c r="C273" s="486"/>
      <c r="D273" s="487">
        <v>0</v>
      </c>
      <c r="E273" s="487"/>
      <c r="F273" s="487"/>
      <c r="G273" s="517">
        <v>3014</v>
      </c>
    </row>
    <row r="274" spans="1:7" ht="12.75" customHeight="1" x14ac:dyDescent="0.2">
      <c r="A274" s="389"/>
      <c r="B274" s="516" t="s">
        <v>444</v>
      </c>
      <c r="C274" s="486"/>
      <c r="D274" s="487">
        <v>0</v>
      </c>
      <c r="E274" s="487"/>
      <c r="F274" s="487"/>
      <c r="G274" s="517" t="s">
        <v>471</v>
      </c>
    </row>
    <row r="275" spans="1:7" ht="12.75" customHeight="1" x14ac:dyDescent="0.2">
      <c r="A275" s="389"/>
      <c r="B275" s="516" t="s">
        <v>445</v>
      </c>
      <c r="C275" s="486"/>
      <c r="D275" s="487">
        <v>0</v>
      </c>
      <c r="E275" s="487"/>
      <c r="F275" s="487"/>
      <c r="G275" s="517" t="s">
        <v>472</v>
      </c>
    </row>
    <row r="276" spans="1:7" ht="12.75" customHeight="1" x14ac:dyDescent="0.2">
      <c r="A276" s="389"/>
      <c r="B276" s="525" t="s">
        <v>50</v>
      </c>
      <c r="C276" s="486"/>
      <c r="D276" s="487">
        <v>138301.44</v>
      </c>
      <c r="E276" s="487"/>
      <c r="F276" s="487"/>
      <c r="G276" s="517"/>
    </row>
    <row r="277" spans="1:7" ht="12.75" customHeight="1" x14ac:dyDescent="0.2">
      <c r="A277" s="389"/>
      <c r="B277" s="516" t="s">
        <v>505</v>
      </c>
      <c r="C277" s="486"/>
      <c r="D277" s="487">
        <v>0</v>
      </c>
      <c r="E277" s="487"/>
      <c r="F277" s="487"/>
      <c r="G277" s="517">
        <v>3029</v>
      </c>
    </row>
    <row r="278" spans="1:7" ht="12.75" customHeight="1" x14ac:dyDescent="0.2">
      <c r="A278" s="389"/>
      <c r="B278" s="516" t="s">
        <v>775</v>
      </c>
      <c r="C278" s="486"/>
      <c r="D278" s="487">
        <v>0</v>
      </c>
      <c r="E278" s="487"/>
      <c r="F278" s="487"/>
      <c r="G278" s="517">
        <v>3029</v>
      </c>
    </row>
    <row r="279" spans="1:7" ht="12.75" customHeight="1" x14ac:dyDescent="0.2">
      <c r="A279" s="389"/>
      <c r="B279" s="516" t="s">
        <v>446</v>
      </c>
      <c r="C279" s="486"/>
      <c r="D279" s="487">
        <v>917.78</v>
      </c>
      <c r="E279" s="487"/>
      <c r="F279" s="487"/>
      <c r="G279" s="517" t="s">
        <v>473</v>
      </c>
    </row>
    <row r="280" spans="1:7" ht="12.75" customHeight="1" x14ac:dyDescent="0.2">
      <c r="A280" s="389"/>
      <c r="B280" s="516" t="s">
        <v>447</v>
      </c>
      <c r="C280" s="486"/>
      <c r="D280" s="487">
        <v>504</v>
      </c>
      <c r="E280" s="487"/>
      <c r="F280" s="487"/>
      <c r="G280" s="517" t="s">
        <v>474</v>
      </c>
    </row>
    <row r="281" spans="1:7" ht="12.75" customHeight="1" x14ac:dyDescent="0.2">
      <c r="A281" s="389"/>
      <c r="B281" s="516" t="s">
        <v>497</v>
      </c>
      <c r="C281" s="486"/>
      <c r="D281" s="487">
        <v>0</v>
      </c>
      <c r="E281" s="487"/>
      <c r="F281" s="487"/>
      <c r="G281" s="517">
        <v>3034</v>
      </c>
    </row>
    <row r="282" spans="1:7" ht="12.75" customHeight="1" x14ac:dyDescent="0.2">
      <c r="A282" s="389"/>
      <c r="B282" s="516" t="s">
        <v>448</v>
      </c>
      <c r="C282" s="486"/>
      <c r="D282" s="487">
        <v>665.41</v>
      </c>
      <c r="E282" s="487"/>
      <c r="F282" s="487"/>
      <c r="G282" s="517" t="s">
        <v>475</v>
      </c>
    </row>
    <row r="283" spans="1:7" ht="12.75" customHeight="1" x14ac:dyDescent="0.2">
      <c r="A283" s="389"/>
      <c r="B283" s="516" t="s">
        <v>449</v>
      </c>
      <c r="C283" s="486"/>
      <c r="D283" s="487">
        <v>19209.57</v>
      </c>
      <c r="E283" s="487"/>
      <c r="F283" s="487"/>
      <c r="G283" s="517" t="s">
        <v>476</v>
      </c>
    </row>
    <row r="284" spans="1:7" ht="12.75" customHeight="1" x14ac:dyDescent="0.2">
      <c r="A284" s="389"/>
      <c r="B284" s="516" t="s">
        <v>450</v>
      </c>
      <c r="C284" s="486"/>
      <c r="D284" s="487">
        <v>0</v>
      </c>
      <c r="E284" s="487"/>
      <c r="F284" s="487"/>
      <c r="G284" s="517" t="s">
        <v>477</v>
      </c>
    </row>
    <row r="285" spans="1:7" ht="12.75" customHeight="1" x14ac:dyDescent="0.2">
      <c r="A285" s="389"/>
      <c r="B285" s="516" t="s">
        <v>451</v>
      </c>
      <c r="C285" s="486"/>
      <c r="D285" s="487">
        <v>973.08</v>
      </c>
      <c r="E285" s="487"/>
      <c r="F285" s="487"/>
      <c r="G285" s="517" t="s">
        <v>478</v>
      </c>
    </row>
    <row r="286" spans="1:7" ht="12.75" customHeight="1" x14ac:dyDescent="0.2">
      <c r="A286" s="389"/>
      <c r="B286" s="516" t="s">
        <v>452</v>
      </c>
      <c r="C286" s="486"/>
      <c r="D286" s="487">
        <v>0</v>
      </c>
      <c r="E286" s="487"/>
      <c r="F286" s="487"/>
      <c r="G286" s="517" t="s">
        <v>479</v>
      </c>
    </row>
    <row r="287" spans="1:7" ht="12.75" customHeight="1" x14ac:dyDescent="0.2">
      <c r="A287" s="389"/>
      <c r="B287" s="516" t="s">
        <v>453</v>
      </c>
      <c r="C287" s="486"/>
      <c r="D287" s="487">
        <v>0</v>
      </c>
      <c r="E287" s="487"/>
      <c r="F287" s="487"/>
      <c r="G287" s="517" t="s">
        <v>480</v>
      </c>
    </row>
    <row r="288" spans="1:7" ht="12.75" customHeight="1" x14ac:dyDescent="0.2">
      <c r="A288" s="389"/>
      <c r="B288" s="516" t="s">
        <v>507</v>
      </c>
      <c r="C288" s="486"/>
      <c r="D288" s="487">
        <v>0</v>
      </c>
      <c r="E288" s="487"/>
      <c r="F288" s="487"/>
      <c r="G288" s="517">
        <v>3042</v>
      </c>
    </row>
    <row r="289" spans="1:7" ht="12.75" customHeight="1" x14ac:dyDescent="0.2">
      <c r="A289" s="389"/>
      <c r="B289" s="516" t="s">
        <v>454</v>
      </c>
      <c r="C289" s="486"/>
      <c r="D289" s="487">
        <v>0</v>
      </c>
      <c r="E289" s="487"/>
      <c r="F289" s="487"/>
      <c r="G289" s="517" t="s">
        <v>481</v>
      </c>
    </row>
    <row r="290" spans="1:7" ht="12.75" customHeight="1" x14ac:dyDescent="0.2">
      <c r="A290" s="389"/>
      <c r="B290" s="516" t="s">
        <v>455</v>
      </c>
      <c r="C290" s="486"/>
      <c r="D290" s="487">
        <v>1934.96</v>
      </c>
      <c r="E290" s="487"/>
      <c r="F290" s="487"/>
      <c r="G290" s="517" t="s">
        <v>482</v>
      </c>
    </row>
    <row r="291" spans="1:7" ht="12.75" customHeight="1" x14ac:dyDescent="0.2">
      <c r="A291" s="389"/>
      <c r="B291" s="516" t="s">
        <v>456</v>
      </c>
      <c r="C291" s="486"/>
      <c r="D291" s="487">
        <v>1650</v>
      </c>
      <c r="E291" s="487"/>
      <c r="F291" s="487"/>
      <c r="G291" s="517" t="s">
        <v>483</v>
      </c>
    </row>
    <row r="292" spans="1:7" ht="12.75" customHeight="1" x14ac:dyDescent="0.2">
      <c r="A292" s="389"/>
      <c r="B292" s="516" t="s">
        <v>498</v>
      </c>
      <c r="C292" s="486"/>
      <c r="D292" s="487">
        <v>16208.47</v>
      </c>
      <c r="E292" s="487"/>
      <c r="F292" s="487"/>
      <c r="G292" s="517">
        <v>3048</v>
      </c>
    </row>
    <row r="293" spans="1:7" ht="12.75" customHeight="1" x14ac:dyDescent="0.2">
      <c r="A293" s="389"/>
      <c r="B293" s="516" t="s">
        <v>457</v>
      </c>
      <c r="C293" s="486"/>
      <c r="D293" s="487">
        <v>22760.14</v>
      </c>
      <c r="E293" s="487"/>
      <c r="F293" s="487"/>
      <c r="G293" s="517" t="s">
        <v>484</v>
      </c>
    </row>
    <row r="294" spans="1:7" ht="12.75" customHeight="1" x14ac:dyDescent="0.2">
      <c r="A294" s="389"/>
      <c r="B294" s="516" t="s">
        <v>458</v>
      </c>
      <c r="C294" s="486"/>
      <c r="D294" s="487">
        <v>4731.7</v>
      </c>
      <c r="E294" s="487"/>
      <c r="F294" s="487"/>
      <c r="G294" s="517" t="s">
        <v>485</v>
      </c>
    </row>
    <row r="295" spans="1:7" ht="12.75" customHeight="1" x14ac:dyDescent="0.2">
      <c r="A295" s="389"/>
      <c r="B295" s="516" t="s">
        <v>501</v>
      </c>
      <c r="C295" s="486"/>
      <c r="D295" s="487">
        <v>0</v>
      </c>
      <c r="E295" s="487"/>
      <c r="F295" s="487"/>
      <c r="G295" s="517">
        <v>3051</v>
      </c>
    </row>
    <row r="296" spans="1:7" ht="12.75" customHeight="1" x14ac:dyDescent="0.2">
      <c r="A296" s="389"/>
      <c r="B296" s="516" t="s">
        <v>517</v>
      </c>
      <c r="C296" s="486"/>
      <c r="D296" s="487">
        <v>2995.24</v>
      </c>
      <c r="E296" s="487"/>
      <c r="F296" s="487"/>
      <c r="G296" s="517">
        <v>3052</v>
      </c>
    </row>
    <row r="297" spans="1:7" ht="12.75" customHeight="1" x14ac:dyDescent="0.2">
      <c r="A297" s="389"/>
      <c r="B297" s="516" t="s">
        <v>459</v>
      </c>
      <c r="C297" s="486"/>
      <c r="D297" s="487">
        <v>7354.53</v>
      </c>
      <c r="E297" s="487"/>
      <c r="F297" s="487"/>
      <c r="G297" s="517" t="s">
        <v>486</v>
      </c>
    </row>
    <row r="298" spans="1:7" ht="12.75" customHeight="1" x14ac:dyDescent="0.2">
      <c r="A298" s="389"/>
      <c r="B298" s="516" t="s">
        <v>502</v>
      </c>
      <c r="C298" s="486"/>
      <c r="D298" s="487">
        <v>4689.76</v>
      </c>
      <c r="E298" s="487"/>
      <c r="F298" s="487"/>
      <c r="G298" s="517">
        <v>3056</v>
      </c>
    </row>
    <row r="299" spans="1:7" ht="12.75" customHeight="1" x14ac:dyDescent="0.2">
      <c r="A299" s="389"/>
      <c r="B299" s="516" t="s">
        <v>460</v>
      </c>
      <c r="C299" s="486"/>
      <c r="D299" s="487">
        <v>11250</v>
      </c>
      <c r="E299" s="487"/>
      <c r="F299" s="487"/>
      <c r="G299" s="517">
        <v>3057</v>
      </c>
    </row>
    <row r="300" spans="1:7" ht="12.75" customHeight="1" x14ac:dyDescent="0.2">
      <c r="A300" s="389"/>
      <c r="B300" s="516" t="s">
        <v>461</v>
      </c>
      <c r="C300" s="486"/>
      <c r="D300" s="487">
        <v>38907.46</v>
      </c>
      <c r="E300" s="487"/>
      <c r="F300" s="487"/>
      <c r="G300" s="517" t="s">
        <v>488</v>
      </c>
    </row>
    <row r="301" spans="1:7" ht="12.75" customHeight="1" x14ac:dyDescent="0.2">
      <c r="A301" s="389"/>
      <c r="B301" s="516" t="s">
        <v>462</v>
      </c>
      <c r="C301" s="486"/>
      <c r="D301" s="487">
        <v>759.86</v>
      </c>
      <c r="E301" s="487"/>
      <c r="F301" s="487"/>
      <c r="G301" s="517" t="s">
        <v>489</v>
      </c>
    </row>
    <row r="302" spans="1:7" ht="12.75" customHeight="1" x14ac:dyDescent="0.2">
      <c r="A302" s="389"/>
      <c r="B302" s="516" t="s">
        <v>499</v>
      </c>
      <c r="C302" s="486"/>
      <c r="D302" s="487">
        <v>0</v>
      </c>
      <c r="E302" s="487"/>
      <c r="F302" s="487"/>
      <c r="G302" s="517">
        <v>3061</v>
      </c>
    </row>
    <row r="303" spans="1:7" ht="12.75" customHeight="1" x14ac:dyDescent="0.2">
      <c r="A303" s="389"/>
      <c r="B303" s="516" t="s">
        <v>508</v>
      </c>
      <c r="C303" s="486"/>
      <c r="D303" s="487">
        <v>0</v>
      </c>
      <c r="E303" s="487"/>
      <c r="F303" s="487"/>
      <c r="G303" s="517">
        <v>3063</v>
      </c>
    </row>
    <row r="304" spans="1:7" ht="12.75" customHeight="1" x14ac:dyDescent="0.2">
      <c r="A304" s="389"/>
      <c r="B304" s="516" t="s">
        <v>463</v>
      </c>
      <c r="C304" s="486"/>
      <c r="D304" s="487">
        <v>0</v>
      </c>
      <c r="E304" s="487"/>
      <c r="F304" s="487"/>
      <c r="G304" s="517" t="s">
        <v>490</v>
      </c>
    </row>
    <row r="305" spans="1:8" ht="12.75" customHeight="1" x14ac:dyDescent="0.2">
      <c r="A305" s="389"/>
      <c r="B305" s="516" t="s">
        <v>512</v>
      </c>
      <c r="C305" s="486"/>
      <c r="D305" s="487">
        <v>125</v>
      </c>
      <c r="E305" s="487"/>
      <c r="F305" s="487"/>
      <c r="G305" s="517">
        <v>3065</v>
      </c>
    </row>
    <row r="306" spans="1:8" ht="12.75" customHeight="1" x14ac:dyDescent="0.2">
      <c r="A306" s="389"/>
      <c r="B306" s="516" t="s">
        <v>464</v>
      </c>
      <c r="C306" s="486"/>
      <c r="D306" s="487">
        <v>0</v>
      </c>
      <c r="E306" s="487"/>
      <c r="F306" s="487"/>
      <c r="G306" s="517" t="s">
        <v>491</v>
      </c>
    </row>
    <row r="307" spans="1:8" ht="12.75" customHeight="1" x14ac:dyDescent="0.2">
      <c r="A307" s="389"/>
      <c r="B307" s="516" t="s">
        <v>465</v>
      </c>
      <c r="C307" s="486"/>
      <c r="D307" s="487">
        <v>20638.13</v>
      </c>
      <c r="E307" s="487"/>
      <c r="F307" s="487"/>
      <c r="G307" s="517" t="s">
        <v>492</v>
      </c>
      <c r="H307" s="489"/>
    </row>
    <row r="308" spans="1:8" ht="12.75" customHeight="1" x14ac:dyDescent="0.2">
      <c r="A308" s="389"/>
      <c r="B308" s="516" t="s">
        <v>466</v>
      </c>
      <c r="C308" s="486"/>
      <c r="D308" s="487">
        <v>0</v>
      </c>
      <c r="E308" s="487"/>
      <c r="F308" s="487"/>
      <c r="G308" s="517">
        <v>3068</v>
      </c>
      <c r="H308" s="489"/>
    </row>
    <row r="309" spans="1:8" ht="12.75" customHeight="1" x14ac:dyDescent="0.2">
      <c r="A309" s="389"/>
      <c r="B309" s="516" t="s">
        <v>467</v>
      </c>
      <c r="C309" s="486"/>
      <c r="D309" s="487">
        <v>213.2</v>
      </c>
      <c r="E309" s="487"/>
      <c r="F309" s="487"/>
      <c r="G309" s="517">
        <v>3069</v>
      </c>
      <c r="H309" s="489"/>
    </row>
    <row r="310" spans="1:8" ht="12.75" customHeight="1" x14ac:dyDescent="0.2">
      <c r="A310" s="389"/>
      <c r="B310" s="516" t="s">
        <v>503</v>
      </c>
      <c r="C310" s="486"/>
      <c r="D310" s="487">
        <v>0</v>
      </c>
      <c r="E310" s="487"/>
      <c r="F310" s="487"/>
      <c r="G310" s="517">
        <v>3073</v>
      </c>
    </row>
    <row r="311" spans="1:8" ht="12.75" customHeight="1" x14ac:dyDescent="0.2">
      <c r="A311" s="389"/>
      <c r="B311" s="519" t="s">
        <v>248</v>
      </c>
      <c r="C311" s="490"/>
      <c r="D311" s="487">
        <v>127081.9</v>
      </c>
      <c r="E311" s="518">
        <f>SUM(D311)</f>
        <v>127081.9</v>
      </c>
      <c r="F311" s="487"/>
      <c r="G311" s="517">
        <v>3001</v>
      </c>
      <c r="H311" s="489"/>
    </row>
    <row r="312" spans="1:8" ht="12.75" customHeight="1" x14ac:dyDescent="0.2">
      <c r="A312" s="389"/>
      <c r="B312" s="520" t="s">
        <v>345</v>
      </c>
      <c r="C312" s="491"/>
      <c r="D312" s="487"/>
      <c r="E312" s="518">
        <f>SUM(D313:D318)</f>
        <v>344277.55000000005</v>
      </c>
      <c r="F312" s="487"/>
    </row>
    <row r="313" spans="1:8" ht="12.75" customHeight="1" x14ac:dyDescent="0.2">
      <c r="A313" s="389"/>
      <c r="B313" s="488"/>
      <c r="C313" s="490" t="s">
        <v>249</v>
      </c>
      <c r="D313" s="487">
        <v>25952.87</v>
      </c>
      <c r="E313" s="487"/>
      <c r="F313" s="487"/>
      <c r="G313" s="477">
        <v>4000</v>
      </c>
    </row>
    <row r="314" spans="1:8" ht="12.75" customHeight="1" x14ac:dyDescent="0.2">
      <c r="A314" s="389"/>
      <c r="B314" s="488"/>
      <c r="C314" s="490" t="s">
        <v>250</v>
      </c>
      <c r="D314" s="487">
        <v>0</v>
      </c>
      <c r="E314" s="487"/>
      <c r="F314" s="487"/>
      <c r="G314" s="477">
        <v>4001</v>
      </c>
    </row>
    <row r="315" spans="1:8" ht="12.75" customHeight="1" x14ac:dyDescent="0.2">
      <c r="A315" s="389"/>
      <c r="B315" s="488"/>
      <c r="C315" s="490" t="s">
        <v>251</v>
      </c>
      <c r="D315" s="487">
        <v>302415.34000000003</v>
      </c>
      <c r="E315" s="487"/>
      <c r="F315" s="487"/>
    </row>
    <row r="316" spans="1:8" ht="12.75" customHeight="1" x14ac:dyDescent="0.2">
      <c r="A316" s="389"/>
      <c r="B316" s="488"/>
      <c r="C316" s="490" t="s">
        <v>252</v>
      </c>
      <c r="D316" s="487">
        <v>1074.78</v>
      </c>
      <c r="E316" s="487"/>
      <c r="F316" s="487"/>
    </row>
    <row r="317" spans="1:8" ht="12.75" customHeight="1" x14ac:dyDescent="0.2">
      <c r="A317" s="389"/>
      <c r="B317" s="488"/>
      <c r="C317" s="491" t="s">
        <v>253</v>
      </c>
      <c r="D317" s="487">
        <v>1949.71</v>
      </c>
      <c r="E317" s="487"/>
      <c r="F317" s="487"/>
    </row>
    <row r="318" spans="1:8" ht="12.75" customHeight="1" x14ac:dyDescent="0.2">
      <c r="A318" s="389"/>
      <c r="B318" s="488"/>
      <c r="C318" s="491" t="s">
        <v>114</v>
      </c>
      <c r="D318" s="487">
        <v>12884.85</v>
      </c>
      <c r="E318" s="487"/>
      <c r="F318" s="487"/>
    </row>
    <row r="319" spans="1:8" ht="12.75" customHeight="1" x14ac:dyDescent="0.2">
      <c r="A319" s="389"/>
      <c r="B319" s="520" t="s">
        <v>651</v>
      </c>
      <c r="C319" s="491"/>
      <c r="D319" s="487"/>
      <c r="E319" s="518">
        <f>D319</f>
        <v>0</v>
      </c>
      <c r="F319" s="495"/>
    </row>
    <row r="320" spans="1:8" ht="12.75" customHeight="1" x14ac:dyDescent="0.2">
      <c r="A320" s="504"/>
      <c r="B320" s="522" t="s">
        <v>255</v>
      </c>
      <c r="D320" s="487"/>
      <c r="E320" s="521">
        <f>D320</f>
        <v>0</v>
      </c>
      <c r="F320" s="495"/>
      <c r="G320" s="477">
        <v>5002</v>
      </c>
      <c r="H320" s="489"/>
    </row>
    <row r="321" spans="1:11" ht="12.75" customHeight="1" thickBot="1" x14ac:dyDescent="0.25">
      <c r="A321" s="496"/>
      <c r="B321" s="497"/>
      <c r="C321" s="498"/>
      <c r="D321" s="499"/>
      <c r="E321" s="500"/>
      <c r="F321" s="889">
        <f>SUM(E267:E321)</f>
        <v>869937.39</v>
      </c>
      <c r="G321" s="477">
        <v>70200</v>
      </c>
      <c r="H321" s="507">
        <f>'Sched-B1'!B9+'Sched-B2'!E105+'Sched-D1'!F321-5582902.8-138301.44</f>
        <v>-5.2386894822120667E-10</v>
      </c>
      <c r="K321" s="489"/>
    </row>
    <row r="322" spans="1:11" ht="12.75" customHeight="1" x14ac:dyDescent="0.2">
      <c r="A322" s="482" t="s">
        <v>518</v>
      </c>
      <c r="B322" s="611" t="s">
        <v>652</v>
      </c>
      <c r="C322" s="483"/>
      <c r="D322" s="484">
        <f>119981.45+46147.03</f>
        <v>166128.47999999998</v>
      </c>
      <c r="E322" s="518">
        <f>D322</f>
        <v>166128.47999999998</v>
      </c>
      <c r="F322" s="485"/>
      <c r="G322" s="612" t="s">
        <v>655</v>
      </c>
    </row>
    <row r="323" spans="1:11" ht="12.75" customHeight="1" x14ac:dyDescent="0.2">
      <c r="A323" s="389"/>
      <c r="B323" s="514" t="s">
        <v>440</v>
      </c>
      <c r="C323" s="486"/>
      <c r="D323" s="487"/>
      <c r="E323" s="518">
        <f>SUM(D323:D365)</f>
        <v>1707212.8699999999</v>
      </c>
      <c r="F323" s="487"/>
      <c r="H323" s="489"/>
    </row>
    <row r="324" spans="1:11" ht="12.75" customHeight="1" x14ac:dyDescent="0.2">
      <c r="A324" s="389"/>
      <c r="B324" s="525" t="s">
        <v>614</v>
      </c>
      <c r="C324" s="601"/>
      <c r="D324" s="716">
        <v>-60898.239999999998</v>
      </c>
      <c r="E324" s="518"/>
      <c r="F324" s="487"/>
      <c r="H324" s="489"/>
    </row>
    <row r="325" spans="1:11" ht="12.75" customHeight="1" x14ac:dyDescent="0.2">
      <c r="A325" s="389"/>
      <c r="B325" s="525" t="s">
        <v>519</v>
      </c>
      <c r="C325" s="430"/>
      <c r="D325" s="716">
        <v>-312947.07</v>
      </c>
      <c r="E325" s="487"/>
      <c r="F325" s="487"/>
      <c r="H325" s="477" t="s">
        <v>842</v>
      </c>
    </row>
    <row r="326" spans="1:11" ht="12.75" customHeight="1" x14ac:dyDescent="0.2">
      <c r="A326" s="389"/>
      <c r="B326" s="516" t="s">
        <v>441</v>
      </c>
      <c r="C326" s="486"/>
      <c r="D326" s="487">
        <v>1800</v>
      </c>
      <c r="E326" s="487"/>
      <c r="F326" s="487"/>
      <c r="G326" s="517" t="s">
        <v>468</v>
      </c>
      <c r="H326" s="489">
        <f>312947.07+60898.24</f>
        <v>373845.31</v>
      </c>
      <c r="I326" s="477" t="s">
        <v>843</v>
      </c>
    </row>
    <row r="327" spans="1:11" ht="12.75" customHeight="1" x14ac:dyDescent="0.2">
      <c r="A327" s="389"/>
      <c r="B327" s="516" t="s">
        <v>442</v>
      </c>
      <c r="C327" s="486"/>
      <c r="D327" s="487">
        <v>15</v>
      </c>
      <c r="E327" s="487"/>
      <c r="F327" s="487"/>
      <c r="G327" s="517" t="s">
        <v>469</v>
      </c>
    </row>
    <row r="328" spans="1:11" ht="12.75" customHeight="1" x14ac:dyDescent="0.2">
      <c r="A328" s="389"/>
      <c r="B328" s="516" t="s">
        <v>839</v>
      </c>
      <c r="C328" s="486"/>
      <c r="D328" s="487">
        <v>291.27</v>
      </c>
      <c r="E328" s="487"/>
      <c r="F328" s="487"/>
      <c r="G328" s="517">
        <v>3004</v>
      </c>
    </row>
    <row r="329" spans="1:11" ht="12.75" customHeight="1" x14ac:dyDescent="0.2">
      <c r="A329" s="389"/>
      <c r="B329" s="516" t="s">
        <v>772</v>
      </c>
      <c r="C329" s="486"/>
      <c r="D329" s="487">
        <v>0</v>
      </c>
      <c r="E329" s="487"/>
      <c r="F329" s="487"/>
      <c r="G329" s="517">
        <v>3005</v>
      </c>
    </row>
    <row r="330" spans="1:11" ht="12.75" customHeight="1" x14ac:dyDescent="0.2">
      <c r="A330" s="389"/>
      <c r="B330" s="516" t="s">
        <v>443</v>
      </c>
      <c r="C330" s="486"/>
      <c r="D330" s="487">
        <v>786.59</v>
      </c>
      <c r="E330" s="487"/>
      <c r="F330" s="487"/>
      <c r="G330" s="517" t="s">
        <v>470</v>
      </c>
    </row>
    <row r="331" spans="1:11" ht="12.75" customHeight="1" x14ac:dyDescent="0.2">
      <c r="A331" s="389"/>
      <c r="B331" s="516" t="s">
        <v>511</v>
      </c>
      <c r="C331" s="486"/>
      <c r="D331" s="487">
        <v>4</v>
      </c>
      <c r="E331" s="487"/>
      <c r="F331" s="487"/>
      <c r="G331" s="517">
        <v>3014</v>
      </c>
    </row>
    <row r="332" spans="1:11" ht="12.75" customHeight="1" x14ac:dyDescent="0.2">
      <c r="A332" s="389"/>
      <c r="B332" s="516" t="s">
        <v>444</v>
      </c>
      <c r="C332" s="486"/>
      <c r="D332" s="487">
        <v>0</v>
      </c>
      <c r="E332" s="487"/>
      <c r="F332" s="487"/>
      <c r="G332" s="517" t="s">
        <v>471</v>
      </c>
    </row>
    <row r="333" spans="1:11" ht="12.75" customHeight="1" x14ac:dyDescent="0.2">
      <c r="A333" s="389"/>
      <c r="B333" s="516" t="s">
        <v>445</v>
      </c>
      <c r="C333" s="486"/>
      <c r="D333" s="487">
        <v>0</v>
      </c>
      <c r="E333" s="487"/>
      <c r="F333" s="487"/>
      <c r="G333" s="517" t="s">
        <v>472</v>
      </c>
      <c r="K333" s="489"/>
    </row>
    <row r="334" spans="1:11" ht="12.75" customHeight="1" x14ac:dyDescent="0.2">
      <c r="A334" s="389"/>
      <c r="B334" s="516" t="s">
        <v>520</v>
      </c>
      <c r="C334" s="486"/>
      <c r="D334" s="487">
        <v>0</v>
      </c>
      <c r="E334" s="487"/>
      <c r="F334" s="487"/>
      <c r="G334" s="517">
        <v>3028</v>
      </c>
    </row>
    <row r="335" spans="1:11" ht="12.75" customHeight="1" x14ac:dyDescent="0.2">
      <c r="A335" s="389"/>
      <c r="B335" s="525" t="s">
        <v>50</v>
      </c>
      <c r="C335" s="486"/>
      <c r="D335" s="487">
        <v>466410.16</v>
      </c>
      <c r="E335" s="487"/>
      <c r="F335" s="487"/>
      <c r="G335" s="517"/>
    </row>
    <row r="336" spans="1:11" ht="12.75" customHeight="1" x14ac:dyDescent="0.2">
      <c r="A336" s="389"/>
      <c r="B336" s="516" t="s">
        <v>446</v>
      </c>
      <c r="C336" s="486"/>
      <c r="D336" s="487">
        <v>5309.89</v>
      </c>
      <c r="E336" s="487"/>
      <c r="F336" s="487"/>
      <c r="G336" s="517" t="s">
        <v>473</v>
      </c>
    </row>
    <row r="337" spans="1:11" ht="12.75" customHeight="1" x14ac:dyDescent="0.2">
      <c r="A337" s="389"/>
      <c r="B337" s="516" t="s">
        <v>447</v>
      </c>
      <c r="C337" s="486"/>
      <c r="D337" s="487">
        <v>4044.5</v>
      </c>
      <c r="E337" s="487"/>
      <c r="F337" s="487"/>
      <c r="G337" s="517" t="s">
        <v>474</v>
      </c>
    </row>
    <row r="338" spans="1:11" ht="12.75" customHeight="1" x14ac:dyDescent="0.2">
      <c r="A338" s="389"/>
      <c r="B338" s="516" t="s">
        <v>497</v>
      </c>
      <c r="C338" s="486"/>
      <c r="D338" s="487">
        <v>0</v>
      </c>
      <c r="E338" s="487"/>
      <c r="F338" s="487"/>
      <c r="G338" s="517">
        <v>3034</v>
      </c>
    </row>
    <row r="339" spans="1:11" ht="12.75" customHeight="1" x14ac:dyDescent="0.2">
      <c r="A339" s="389"/>
      <c r="B339" s="516" t="s">
        <v>448</v>
      </c>
      <c r="C339" s="486"/>
      <c r="D339" s="487">
        <v>541.88</v>
      </c>
      <c r="E339" s="487"/>
      <c r="F339" s="487"/>
      <c r="G339" s="517" t="s">
        <v>475</v>
      </c>
    </row>
    <row r="340" spans="1:11" ht="12.75" customHeight="1" x14ac:dyDescent="0.2">
      <c r="A340" s="389"/>
      <c r="B340" s="516" t="s">
        <v>449</v>
      </c>
      <c r="C340" s="486"/>
      <c r="D340" s="487">
        <v>2902.02</v>
      </c>
      <c r="E340" s="487"/>
      <c r="F340" s="487"/>
      <c r="G340" s="517" t="s">
        <v>476</v>
      </c>
      <c r="K340" s="506"/>
    </row>
    <row r="341" spans="1:11" ht="12.75" customHeight="1" x14ac:dyDescent="0.2">
      <c r="A341" s="389"/>
      <c r="B341" s="516" t="s">
        <v>450</v>
      </c>
      <c r="C341" s="486"/>
      <c r="D341" s="487">
        <v>3893.77</v>
      </c>
      <c r="E341" s="487"/>
      <c r="F341" s="487"/>
      <c r="G341" s="517" t="s">
        <v>477</v>
      </c>
    </row>
    <row r="342" spans="1:11" ht="12.75" customHeight="1" x14ac:dyDescent="0.2">
      <c r="A342" s="389"/>
      <c r="B342" s="516" t="s">
        <v>451</v>
      </c>
      <c r="C342" s="486"/>
      <c r="D342" s="487">
        <v>627.63</v>
      </c>
      <c r="E342" s="487"/>
      <c r="F342" s="487"/>
      <c r="G342" s="517" t="s">
        <v>478</v>
      </c>
    </row>
    <row r="343" spans="1:11" ht="12.75" customHeight="1" x14ac:dyDescent="0.2">
      <c r="A343" s="389"/>
      <c r="B343" s="516" t="s">
        <v>452</v>
      </c>
      <c r="C343" s="486"/>
      <c r="D343" s="487">
        <v>0</v>
      </c>
      <c r="E343" s="487"/>
      <c r="F343" s="487"/>
      <c r="G343" s="517" t="s">
        <v>479</v>
      </c>
    </row>
    <row r="344" spans="1:11" ht="12.75" customHeight="1" x14ac:dyDescent="0.2">
      <c r="A344" s="389"/>
      <c r="B344" s="516" t="s">
        <v>453</v>
      </c>
      <c r="C344" s="486"/>
      <c r="D344" s="487">
        <v>455.06</v>
      </c>
      <c r="E344" s="487"/>
      <c r="F344" s="487"/>
      <c r="G344" s="517" t="s">
        <v>480</v>
      </c>
    </row>
    <row r="345" spans="1:11" ht="12.75" customHeight="1" x14ac:dyDescent="0.2">
      <c r="A345" s="389"/>
      <c r="B345" s="516" t="s">
        <v>454</v>
      </c>
      <c r="C345" s="486"/>
      <c r="D345" s="487">
        <v>5968.44</v>
      </c>
      <c r="E345" s="487"/>
      <c r="F345" s="487"/>
      <c r="G345" s="517" t="s">
        <v>481</v>
      </c>
    </row>
    <row r="346" spans="1:11" ht="12.75" customHeight="1" x14ac:dyDescent="0.2">
      <c r="A346" s="389"/>
      <c r="B346" s="516" t="s">
        <v>455</v>
      </c>
      <c r="C346" s="486"/>
      <c r="D346" s="487">
        <v>0</v>
      </c>
      <c r="E346" s="487"/>
      <c r="F346" s="487"/>
      <c r="G346" s="517" t="s">
        <v>482</v>
      </c>
    </row>
    <row r="347" spans="1:11" ht="12.75" customHeight="1" x14ac:dyDescent="0.2">
      <c r="A347" s="389"/>
      <c r="B347" s="516" t="s">
        <v>456</v>
      </c>
      <c r="C347" s="486"/>
      <c r="D347" s="487">
        <v>1239.8800000000001</v>
      </c>
      <c r="E347" s="487"/>
      <c r="F347" s="487"/>
      <c r="G347" s="517" t="s">
        <v>483</v>
      </c>
    </row>
    <row r="348" spans="1:11" ht="12.75" customHeight="1" x14ac:dyDescent="0.2">
      <c r="A348" s="389"/>
      <c r="B348" s="516" t="s">
        <v>498</v>
      </c>
      <c r="C348" s="486"/>
      <c r="D348" s="487">
        <v>38201.32</v>
      </c>
      <c r="E348" s="487"/>
      <c r="F348" s="487"/>
      <c r="G348" s="517">
        <v>3048</v>
      </c>
    </row>
    <row r="349" spans="1:11" ht="12.75" customHeight="1" x14ac:dyDescent="0.2">
      <c r="A349" s="389"/>
      <c r="B349" s="516" t="s">
        <v>457</v>
      </c>
      <c r="C349" s="486"/>
      <c r="D349" s="487">
        <v>23806.81</v>
      </c>
      <c r="E349" s="487"/>
      <c r="F349" s="487"/>
      <c r="G349" s="517" t="s">
        <v>484</v>
      </c>
    </row>
    <row r="350" spans="1:11" ht="12.75" customHeight="1" x14ac:dyDescent="0.2">
      <c r="A350" s="389"/>
      <c r="B350" s="516" t="s">
        <v>458</v>
      </c>
      <c r="C350" s="486"/>
      <c r="D350" s="487">
        <v>15887.61</v>
      </c>
      <c r="E350" s="487"/>
      <c r="F350" s="487"/>
      <c r="G350" s="517" t="s">
        <v>485</v>
      </c>
    </row>
    <row r="351" spans="1:11" ht="12.75" customHeight="1" x14ac:dyDescent="0.2">
      <c r="A351" s="389"/>
      <c r="B351" s="516" t="s">
        <v>501</v>
      </c>
      <c r="C351" s="486"/>
      <c r="D351" s="487">
        <v>30.04</v>
      </c>
      <c r="E351" s="487"/>
      <c r="F351" s="487"/>
      <c r="G351" s="517">
        <v>3051</v>
      </c>
    </row>
    <row r="352" spans="1:11" ht="12.75" customHeight="1" x14ac:dyDescent="0.2">
      <c r="A352" s="389"/>
      <c r="B352" s="516" t="s">
        <v>517</v>
      </c>
      <c r="C352" s="486"/>
      <c r="D352" s="487">
        <v>85114.78</v>
      </c>
      <c r="E352" s="487"/>
      <c r="F352" s="487"/>
      <c r="G352" s="517">
        <v>3052</v>
      </c>
    </row>
    <row r="353" spans="1:8" ht="12.75" customHeight="1" x14ac:dyDescent="0.2">
      <c r="A353" s="389"/>
      <c r="B353" s="516" t="s">
        <v>459</v>
      </c>
      <c r="C353" s="486"/>
      <c r="D353" s="487">
        <v>3720</v>
      </c>
      <c r="E353" s="487"/>
      <c r="F353" s="487"/>
      <c r="G353" s="517" t="s">
        <v>486</v>
      </c>
    </row>
    <row r="354" spans="1:8" ht="12.75" customHeight="1" x14ac:dyDescent="0.2">
      <c r="A354" s="389"/>
      <c r="B354" s="516" t="s">
        <v>502</v>
      </c>
      <c r="C354" s="486"/>
      <c r="D354" s="487">
        <v>2972</v>
      </c>
      <c r="E354" s="487"/>
      <c r="F354" s="487"/>
      <c r="G354" s="517">
        <v>3056</v>
      </c>
    </row>
    <row r="355" spans="1:8" ht="12.75" customHeight="1" x14ac:dyDescent="0.2">
      <c r="A355" s="389"/>
      <c r="B355" s="516" t="s">
        <v>460</v>
      </c>
      <c r="C355" s="486"/>
      <c r="D355" s="487">
        <v>6448</v>
      </c>
      <c r="E355" s="487"/>
      <c r="F355" s="487"/>
      <c r="G355" s="517" t="s">
        <v>487</v>
      </c>
    </row>
    <row r="356" spans="1:8" ht="12.75" customHeight="1" x14ac:dyDescent="0.2">
      <c r="A356" s="389"/>
      <c r="B356" s="516" t="s">
        <v>461</v>
      </c>
      <c r="C356" s="486"/>
      <c r="D356" s="487">
        <v>48075.82</v>
      </c>
      <c r="E356" s="487"/>
      <c r="F356" s="487"/>
      <c r="G356" s="517" t="s">
        <v>488</v>
      </c>
    </row>
    <row r="357" spans="1:8" ht="12.75" customHeight="1" x14ac:dyDescent="0.2">
      <c r="A357" s="389"/>
      <c r="B357" s="516" t="s">
        <v>462</v>
      </c>
      <c r="C357" s="486"/>
      <c r="D357" s="487">
        <v>18369.060000000001</v>
      </c>
      <c r="E357" s="487"/>
      <c r="F357" s="487"/>
      <c r="G357" s="517" t="s">
        <v>489</v>
      </c>
    </row>
    <row r="358" spans="1:8" ht="12.75" customHeight="1" x14ac:dyDescent="0.2">
      <c r="A358" s="389"/>
      <c r="B358" s="516" t="s">
        <v>499</v>
      </c>
      <c r="C358" s="486"/>
      <c r="D358" s="487">
        <v>0</v>
      </c>
      <c r="E358" s="487"/>
      <c r="F358" s="487"/>
      <c r="G358" s="517">
        <v>3061</v>
      </c>
    </row>
    <row r="359" spans="1:8" ht="12.75" customHeight="1" x14ac:dyDescent="0.2">
      <c r="A359" s="389"/>
      <c r="B359" s="516" t="s">
        <v>508</v>
      </c>
      <c r="C359" s="486"/>
      <c r="D359" s="487">
        <v>1259285.3400000001</v>
      </c>
      <c r="E359" s="487"/>
      <c r="F359" s="487"/>
      <c r="G359" s="517">
        <v>3063</v>
      </c>
    </row>
    <row r="360" spans="1:8" ht="12.75" customHeight="1" x14ac:dyDescent="0.2">
      <c r="A360" s="389"/>
      <c r="B360" s="516" t="s">
        <v>463</v>
      </c>
      <c r="C360" s="486"/>
      <c r="D360" s="487">
        <v>0</v>
      </c>
      <c r="E360" s="487"/>
      <c r="F360" s="487"/>
      <c r="G360" s="517" t="s">
        <v>490</v>
      </c>
    </row>
    <row r="361" spans="1:8" ht="12.75" customHeight="1" x14ac:dyDescent="0.2">
      <c r="A361" s="389"/>
      <c r="B361" s="516" t="s">
        <v>464</v>
      </c>
      <c r="C361" s="486"/>
      <c r="D361" s="487">
        <v>767</v>
      </c>
      <c r="E361" s="487"/>
      <c r="F361" s="487"/>
      <c r="G361" s="517" t="s">
        <v>491</v>
      </c>
    </row>
    <row r="362" spans="1:8" ht="12.75" customHeight="1" x14ac:dyDescent="0.2">
      <c r="A362" s="389"/>
      <c r="B362" s="516" t="s">
        <v>465</v>
      </c>
      <c r="C362" s="486"/>
      <c r="D362" s="487">
        <v>83339.91</v>
      </c>
      <c r="E362" s="487"/>
      <c r="F362" s="487"/>
      <c r="G362" s="517" t="s">
        <v>492</v>
      </c>
      <c r="H362" s="489"/>
    </row>
    <row r="363" spans="1:8" ht="12.75" customHeight="1" x14ac:dyDescent="0.2">
      <c r="A363" s="389"/>
      <c r="B363" s="516" t="s">
        <v>466</v>
      </c>
      <c r="C363" s="486"/>
      <c r="D363" s="487">
        <v>0</v>
      </c>
      <c r="E363" s="487"/>
      <c r="F363" s="487"/>
      <c r="G363" s="517" t="s">
        <v>493</v>
      </c>
    </row>
    <row r="364" spans="1:8" ht="12.75" customHeight="1" x14ac:dyDescent="0.2">
      <c r="A364" s="389"/>
      <c r="B364" s="516" t="s">
        <v>467</v>
      </c>
      <c r="C364" s="486"/>
      <c r="D364" s="487">
        <v>435.4</v>
      </c>
      <c r="E364" s="487"/>
      <c r="F364" s="487"/>
      <c r="G364" s="517" t="s">
        <v>494</v>
      </c>
      <c r="H364" s="489"/>
    </row>
    <row r="365" spans="1:8" ht="12.75" customHeight="1" x14ac:dyDescent="0.2">
      <c r="A365" s="389"/>
      <c r="B365" s="516" t="s">
        <v>503</v>
      </c>
      <c r="C365" s="486"/>
      <c r="D365" s="487">
        <v>315</v>
      </c>
      <c r="E365" s="487"/>
      <c r="F365" s="487"/>
      <c r="G365" s="517">
        <v>3073</v>
      </c>
    </row>
    <row r="366" spans="1:8" ht="12.75" customHeight="1" x14ac:dyDescent="0.2">
      <c r="A366" s="389"/>
      <c r="B366" s="519" t="s">
        <v>248</v>
      </c>
      <c r="C366" s="490"/>
      <c r="D366" s="487">
        <v>287513.55</v>
      </c>
      <c r="E366" s="518">
        <f>SUM(D366)</f>
        <v>287513.55</v>
      </c>
      <c r="F366" s="487"/>
      <c r="G366" s="517">
        <v>3001</v>
      </c>
      <c r="H366" s="489"/>
    </row>
    <row r="367" spans="1:8" ht="12.75" customHeight="1" x14ac:dyDescent="0.2">
      <c r="A367" s="389"/>
      <c r="B367" s="520" t="s">
        <v>345</v>
      </c>
      <c r="C367" s="491"/>
      <c r="D367" s="487"/>
      <c r="E367" s="518">
        <f>SUM(D368:D373)</f>
        <v>614475.86</v>
      </c>
      <c r="F367" s="487"/>
      <c r="H367" s="489"/>
    </row>
    <row r="368" spans="1:8" ht="12.75" customHeight="1" x14ac:dyDescent="0.2">
      <c r="A368" s="389"/>
      <c r="B368" s="488"/>
      <c r="C368" s="490" t="s">
        <v>249</v>
      </c>
      <c r="D368" s="487">
        <v>47303.5</v>
      </c>
      <c r="E368" s="487"/>
      <c r="F368" s="487"/>
      <c r="H368" s="489"/>
    </row>
    <row r="369" spans="1:10" ht="12.75" customHeight="1" x14ac:dyDescent="0.2">
      <c r="A369" s="389"/>
      <c r="B369" s="488"/>
      <c r="C369" s="490" t="s">
        <v>250</v>
      </c>
      <c r="D369" s="487">
        <v>0</v>
      </c>
      <c r="E369" s="487"/>
      <c r="F369" s="487"/>
    </row>
    <row r="370" spans="1:10" ht="12.75" customHeight="1" x14ac:dyDescent="0.2">
      <c r="A370" s="389"/>
      <c r="B370" s="488"/>
      <c r="C370" s="490" t="s">
        <v>251</v>
      </c>
      <c r="D370" s="487">
        <v>427227.36</v>
      </c>
      <c r="E370" s="487"/>
      <c r="F370" s="487"/>
    </row>
    <row r="371" spans="1:10" ht="12.75" customHeight="1" x14ac:dyDescent="0.2">
      <c r="A371" s="389"/>
      <c r="B371" s="488"/>
      <c r="C371" s="490" t="s">
        <v>252</v>
      </c>
      <c r="D371" s="487">
        <v>8971.9500000000007</v>
      </c>
      <c r="E371" s="487"/>
      <c r="F371" s="487"/>
    </row>
    <row r="372" spans="1:10" ht="12.75" customHeight="1" x14ac:dyDescent="0.2">
      <c r="A372" s="502"/>
      <c r="B372" s="488"/>
      <c r="C372" s="491" t="s">
        <v>253</v>
      </c>
      <c r="D372" s="487">
        <v>40690.6</v>
      </c>
      <c r="E372" s="487"/>
      <c r="F372" s="487"/>
    </row>
    <row r="373" spans="1:10" ht="12.75" customHeight="1" x14ac:dyDescent="0.2">
      <c r="A373" s="389"/>
      <c r="B373" s="488"/>
      <c r="C373" s="491" t="s">
        <v>114</v>
      </c>
      <c r="D373" s="487">
        <v>90282.45</v>
      </c>
      <c r="E373" s="487"/>
      <c r="F373" s="487"/>
    </row>
    <row r="374" spans="1:10" ht="12.75" customHeight="1" x14ac:dyDescent="0.2">
      <c r="A374" s="389"/>
      <c r="B374" s="520" t="s">
        <v>651</v>
      </c>
      <c r="C374" s="491"/>
      <c r="D374" s="487">
        <v>0</v>
      </c>
      <c r="E374" s="518">
        <f>D374</f>
        <v>0</v>
      </c>
      <c r="F374" s="487"/>
      <c r="G374" s="477">
        <v>4005</v>
      </c>
    </row>
    <row r="375" spans="1:10" ht="12.75" customHeight="1" x14ac:dyDescent="0.2">
      <c r="A375" s="389"/>
      <c r="B375" s="522" t="s">
        <v>255</v>
      </c>
      <c r="D375" s="487">
        <v>0</v>
      </c>
      <c r="E375" s="521">
        <f>D375</f>
        <v>0</v>
      </c>
      <c r="F375" s="487"/>
      <c r="H375" s="489"/>
    </row>
    <row r="376" spans="1:10" ht="12.75" customHeight="1" thickBot="1" x14ac:dyDescent="0.25">
      <c r="A376" s="496"/>
      <c r="B376" s="497"/>
      <c r="C376" s="498"/>
      <c r="D376" s="503"/>
      <c r="E376" s="500"/>
      <c r="F376" s="889">
        <f>SUM(E322:E376)</f>
        <v>2775330.76</v>
      </c>
      <c r="H376" s="501">
        <f>'Sched-B1'!B10+'Sched-B2'!E122+'Sched-D1'!F376-13453490.73-466410.16+373845.31</f>
        <v>0</v>
      </c>
    </row>
    <row r="377" spans="1:10" ht="12.75" customHeight="1" x14ac:dyDescent="0.2">
      <c r="A377" s="482" t="s">
        <v>579</v>
      </c>
      <c r="B377" s="611" t="s">
        <v>652</v>
      </c>
      <c r="C377" s="483"/>
      <c r="D377" s="484">
        <v>0</v>
      </c>
      <c r="E377" s="485">
        <v>0</v>
      </c>
      <c r="F377" s="485"/>
      <c r="G377" s="477">
        <v>2000</v>
      </c>
    </row>
    <row r="378" spans="1:10" ht="12.75" customHeight="1" x14ac:dyDescent="0.2">
      <c r="A378" s="389"/>
      <c r="B378" s="514" t="s">
        <v>440</v>
      </c>
      <c r="C378" s="486"/>
      <c r="D378" s="487"/>
      <c r="E378" s="518">
        <f>SUM(D378:D420)</f>
        <v>216744.34000000003</v>
      </c>
      <c r="F378" s="487"/>
    </row>
    <row r="379" spans="1:10" ht="12.75" customHeight="1" x14ac:dyDescent="0.2">
      <c r="A379" s="389"/>
      <c r="B379" s="516" t="s">
        <v>441</v>
      </c>
      <c r="C379" s="486"/>
      <c r="D379" s="487">
        <v>1950</v>
      </c>
      <c r="E379" s="487"/>
      <c r="F379" s="487"/>
      <c r="G379" s="517" t="s">
        <v>468</v>
      </c>
    </row>
    <row r="380" spans="1:10" ht="12.75" customHeight="1" x14ac:dyDescent="0.2">
      <c r="A380" s="389"/>
      <c r="B380" s="516" t="s">
        <v>442</v>
      </c>
      <c r="C380" s="486"/>
      <c r="D380" s="487">
        <v>50</v>
      </c>
      <c r="E380" s="487"/>
      <c r="F380" s="487"/>
      <c r="G380" s="517" t="s">
        <v>469</v>
      </c>
    </row>
    <row r="381" spans="1:10" ht="12.75" customHeight="1" x14ac:dyDescent="0.2">
      <c r="A381" s="389"/>
      <c r="B381" s="516" t="s">
        <v>776</v>
      </c>
      <c r="C381" s="486"/>
      <c r="D381" s="734">
        <v>549</v>
      </c>
      <c r="E381" s="734"/>
      <c r="F381" s="734"/>
      <c r="G381" s="517">
        <v>3006</v>
      </c>
      <c r="H381" s="430"/>
      <c r="I381" s="430"/>
      <c r="J381" s="430"/>
    </row>
    <row r="382" spans="1:10" ht="12.75" customHeight="1" x14ac:dyDescent="0.2">
      <c r="A382" s="389"/>
      <c r="B382" s="516" t="s">
        <v>500</v>
      </c>
      <c r="C382" s="486"/>
      <c r="D382" s="487">
        <v>0</v>
      </c>
      <c r="E382" s="487"/>
      <c r="F382" s="487"/>
      <c r="G382" s="517">
        <v>3003</v>
      </c>
    </row>
    <row r="383" spans="1:10" ht="12.75" customHeight="1" x14ac:dyDescent="0.2">
      <c r="A383" s="389"/>
      <c r="B383" s="516" t="s">
        <v>443</v>
      </c>
      <c r="C383" s="486"/>
      <c r="D383" s="487">
        <v>433.33</v>
      </c>
      <c r="E383" s="487"/>
      <c r="F383" s="487"/>
      <c r="G383" s="517" t="s">
        <v>470</v>
      </c>
    </row>
    <row r="384" spans="1:10" ht="12.75" customHeight="1" x14ac:dyDescent="0.2">
      <c r="A384" s="389"/>
      <c r="B384" s="516" t="s">
        <v>511</v>
      </c>
      <c r="C384" s="486"/>
      <c r="D384" s="487">
        <v>0</v>
      </c>
      <c r="E384" s="487"/>
      <c r="F384" s="487"/>
      <c r="G384" s="517">
        <v>3014</v>
      </c>
    </row>
    <row r="385" spans="1:7" ht="12.75" customHeight="1" x14ac:dyDescent="0.2">
      <c r="A385" s="389"/>
      <c r="B385" s="516" t="s">
        <v>444</v>
      </c>
      <c r="C385" s="486"/>
      <c r="D385" s="487">
        <v>0</v>
      </c>
      <c r="E385" s="487"/>
      <c r="F385" s="487"/>
      <c r="G385" s="517" t="s">
        <v>471</v>
      </c>
    </row>
    <row r="386" spans="1:7" ht="12.75" customHeight="1" x14ac:dyDescent="0.2">
      <c r="A386" s="389"/>
      <c r="B386" s="516" t="s">
        <v>445</v>
      </c>
      <c r="C386" s="486"/>
      <c r="D386" s="487">
        <v>0</v>
      </c>
      <c r="E386" s="487"/>
      <c r="F386" s="487"/>
      <c r="G386" s="517" t="s">
        <v>472</v>
      </c>
    </row>
    <row r="387" spans="1:7" ht="12.75" customHeight="1" x14ac:dyDescent="0.2">
      <c r="A387" s="389"/>
      <c r="B387" s="525" t="s">
        <v>50</v>
      </c>
      <c r="C387" s="486"/>
      <c r="D387" s="487">
        <v>98134.41</v>
      </c>
      <c r="E387" s="487"/>
      <c r="F387" s="487"/>
      <c r="G387" s="517"/>
    </row>
    <row r="388" spans="1:7" ht="12.75" customHeight="1" x14ac:dyDescent="0.2">
      <c r="A388" s="389"/>
      <c r="B388" s="516" t="s">
        <v>505</v>
      </c>
      <c r="C388" s="486"/>
      <c r="D388" s="487">
        <v>0</v>
      </c>
      <c r="E388" s="487"/>
      <c r="F388" s="487"/>
      <c r="G388" s="517">
        <v>3029</v>
      </c>
    </row>
    <row r="389" spans="1:7" ht="12.75" customHeight="1" x14ac:dyDescent="0.2">
      <c r="A389" s="389"/>
      <c r="B389" s="516" t="s">
        <v>446</v>
      </c>
      <c r="C389" s="486"/>
      <c r="D389" s="487">
        <v>917.78</v>
      </c>
      <c r="E389" s="487"/>
      <c r="F389" s="487"/>
      <c r="G389" s="517" t="s">
        <v>473</v>
      </c>
    </row>
    <row r="390" spans="1:7" ht="12.75" customHeight="1" x14ac:dyDescent="0.2">
      <c r="A390" s="389"/>
      <c r="B390" s="516" t="s">
        <v>447</v>
      </c>
      <c r="C390" s="486"/>
      <c r="D390" s="487">
        <v>1474</v>
      </c>
      <c r="E390" s="487"/>
      <c r="F390" s="487"/>
      <c r="G390" s="517" t="s">
        <v>474</v>
      </c>
    </row>
    <row r="391" spans="1:7" ht="12.75" customHeight="1" x14ac:dyDescent="0.2">
      <c r="A391" s="389"/>
      <c r="B391" s="516" t="s">
        <v>497</v>
      </c>
      <c r="C391" s="486"/>
      <c r="D391" s="487">
        <v>11.99</v>
      </c>
      <c r="E391" s="487"/>
      <c r="F391" s="487"/>
      <c r="G391" s="517">
        <v>3034</v>
      </c>
    </row>
    <row r="392" spans="1:7" ht="12.75" customHeight="1" x14ac:dyDescent="0.2">
      <c r="A392" s="389"/>
      <c r="B392" s="516" t="s">
        <v>448</v>
      </c>
      <c r="C392" s="486"/>
      <c r="D392" s="487">
        <v>1611.92</v>
      </c>
      <c r="E392" s="487"/>
      <c r="F392" s="487"/>
      <c r="G392" s="517" t="s">
        <v>475</v>
      </c>
    </row>
    <row r="393" spans="1:7" ht="12.75" customHeight="1" x14ac:dyDescent="0.2">
      <c r="A393" s="389"/>
      <c r="B393" s="516" t="s">
        <v>449</v>
      </c>
      <c r="C393" s="486"/>
      <c r="D393" s="487">
        <v>5994.07</v>
      </c>
      <c r="E393" s="487"/>
      <c r="F393" s="487"/>
      <c r="G393" s="517" t="s">
        <v>476</v>
      </c>
    </row>
    <row r="394" spans="1:7" ht="12.75" customHeight="1" x14ac:dyDescent="0.2">
      <c r="A394" s="389"/>
      <c r="B394" s="516" t="s">
        <v>450</v>
      </c>
      <c r="C394" s="486"/>
      <c r="D394" s="487">
        <v>0</v>
      </c>
      <c r="E394" s="487"/>
      <c r="F394" s="487"/>
      <c r="G394" s="517" t="s">
        <v>477</v>
      </c>
    </row>
    <row r="395" spans="1:7" ht="12.75" customHeight="1" x14ac:dyDescent="0.2">
      <c r="A395" s="389"/>
      <c r="B395" s="516" t="s">
        <v>451</v>
      </c>
      <c r="C395" s="486"/>
      <c r="D395" s="487">
        <v>1241.58</v>
      </c>
      <c r="E395" s="487"/>
      <c r="F395" s="487"/>
      <c r="G395" s="517" t="s">
        <v>478</v>
      </c>
    </row>
    <row r="396" spans="1:7" ht="12.75" customHeight="1" x14ac:dyDescent="0.2">
      <c r="A396" s="389"/>
      <c r="B396" s="516" t="s">
        <v>452</v>
      </c>
      <c r="C396" s="486"/>
      <c r="D396" s="487">
        <v>0</v>
      </c>
      <c r="E396" s="487"/>
      <c r="F396" s="487"/>
      <c r="G396" s="517" t="s">
        <v>479</v>
      </c>
    </row>
    <row r="397" spans="1:7" ht="12.75" customHeight="1" x14ac:dyDescent="0.2">
      <c r="A397" s="389"/>
      <c r="B397" s="516" t="s">
        <v>453</v>
      </c>
      <c r="C397" s="486"/>
      <c r="D397" s="487">
        <v>0</v>
      </c>
      <c r="E397" s="487"/>
      <c r="F397" s="487"/>
      <c r="G397" s="517" t="s">
        <v>480</v>
      </c>
    </row>
    <row r="398" spans="1:7" ht="12.75" customHeight="1" x14ac:dyDescent="0.2">
      <c r="A398" s="389"/>
      <c r="B398" s="516" t="s">
        <v>507</v>
      </c>
      <c r="C398" s="486"/>
      <c r="D398" s="487">
        <v>0</v>
      </c>
      <c r="E398" s="487"/>
      <c r="F398" s="487"/>
      <c r="G398" s="517">
        <v>3042</v>
      </c>
    </row>
    <row r="399" spans="1:7" ht="12.75" customHeight="1" x14ac:dyDescent="0.2">
      <c r="A399" s="389"/>
      <c r="B399" s="516" t="s">
        <v>454</v>
      </c>
      <c r="C399" s="486"/>
      <c r="D399" s="487">
        <v>0</v>
      </c>
      <c r="E399" s="487"/>
      <c r="F399" s="487"/>
      <c r="G399" s="517" t="s">
        <v>481</v>
      </c>
    </row>
    <row r="400" spans="1:7" ht="12.75" customHeight="1" x14ac:dyDescent="0.2">
      <c r="A400" s="389"/>
      <c r="B400" s="516" t="s">
        <v>455</v>
      </c>
      <c r="C400" s="486"/>
      <c r="D400" s="487">
        <v>0</v>
      </c>
      <c r="E400" s="487"/>
      <c r="F400" s="487"/>
      <c r="G400" s="517" t="s">
        <v>482</v>
      </c>
    </row>
    <row r="401" spans="1:7" ht="12.75" customHeight="1" x14ac:dyDescent="0.2">
      <c r="A401" s="389"/>
      <c r="B401" s="516" t="s">
        <v>456</v>
      </c>
      <c r="C401" s="486"/>
      <c r="D401" s="487">
        <v>0</v>
      </c>
      <c r="E401" s="487"/>
      <c r="F401" s="487"/>
      <c r="G401" s="517" t="s">
        <v>483</v>
      </c>
    </row>
    <row r="402" spans="1:7" ht="12.75" customHeight="1" x14ac:dyDescent="0.2">
      <c r="A402" s="389"/>
      <c r="B402" s="516" t="s">
        <v>498</v>
      </c>
      <c r="C402" s="486"/>
      <c r="D402" s="487">
        <v>33278.769999999997</v>
      </c>
      <c r="E402" s="487"/>
      <c r="F402" s="487"/>
      <c r="G402" s="517">
        <v>3048</v>
      </c>
    </row>
    <row r="403" spans="1:7" ht="12.75" customHeight="1" x14ac:dyDescent="0.2">
      <c r="A403" s="389"/>
      <c r="B403" s="516" t="s">
        <v>457</v>
      </c>
      <c r="C403" s="486"/>
      <c r="D403" s="487">
        <v>0</v>
      </c>
      <c r="E403" s="487"/>
      <c r="F403" s="487"/>
      <c r="G403" s="517" t="s">
        <v>484</v>
      </c>
    </row>
    <row r="404" spans="1:7" ht="12.75" customHeight="1" x14ac:dyDescent="0.2">
      <c r="A404" s="389"/>
      <c r="B404" s="516" t="s">
        <v>458</v>
      </c>
      <c r="C404" s="486"/>
      <c r="D404" s="487">
        <v>153</v>
      </c>
      <c r="E404" s="487"/>
      <c r="F404" s="487"/>
      <c r="G404" s="517" t="s">
        <v>485</v>
      </c>
    </row>
    <row r="405" spans="1:7" ht="12.75" customHeight="1" x14ac:dyDescent="0.2">
      <c r="A405" s="389"/>
      <c r="B405" s="516" t="s">
        <v>501</v>
      </c>
      <c r="C405" s="486"/>
      <c r="D405" s="487">
        <v>12360.81</v>
      </c>
      <c r="E405" s="487"/>
      <c r="F405" s="487"/>
      <c r="G405" s="517">
        <v>3051</v>
      </c>
    </row>
    <row r="406" spans="1:7" ht="12.75" customHeight="1" x14ac:dyDescent="0.2">
      <c r="A406" s="389"/>
      <c r="B406" s="516" t="s">
        <v>769</v>
      </c>
      <c r="C406" s="486"/>
      <c r="D406" s="487">
        <v>0</v>
      </c>
      <c r="E406" s="487"/>
      <c r="F406" s="487"/>
      <c r="G406" s="517">
        <v>3054</v>
      </c>
    </row>
    <row r="407" spans="1:7" ht="12.75" customHeight="1" x14ac:dyDescent="0.2">
      <c r="A407" s="389"/>
      <c r="B407" s="516" t="s">
        <v>459</v>
      </c>
      <c r="C407" s="486"/>
      <c r="D407" s="487">
        <v>0</v>
      </c>
      <c r="E407" s="487"/>
      <c r="F407" s="487"/>
      <c r="G407" s="517" t="s">
        <v>486</v>
      </c>
    </row>
    <row r="408" spans="1:7" ht="12.75" customHeight="1" x14ac:dyDescent="0.2">
      <c r="A408" s="389"/>
      <c r="B408" s="516" t="s">
        <v>502</v>
      </c>
      <c r="C408" s="486"/>
      <c r="D408" s="487">
        <v>10211.83</v>
      </c>
      <c r="E408" s="487"/>
      <c r="F408" s="487"/>
      <c r="G408" s="517">
        <v>3056</v>
      </c>
    </row>
    <row r="409" spans="1:7" ht="12.75" customHeight="1" x14ac:dyDescent="0.2">
      <c r="A409" s="389"/>
      <c r="B409" s="516" t="s">
        <v>460</v>
      </c>
      <c r="C409" s="486"/>
      <c r="D409" s="487">
        <v>0</v>
      </c>
      <c r="E409" s="487"/>
      <c r="F409" s="487"/>
      <c r="G409" s="517">
        <v>3057</v>
      </c>
    </row>
    <row r="410" spans="1:7" ht="12.75" customHeight="1" x14ac:dyDescent="0.2">
      <c r="A410" s="389"/>
      <c r="B410" s="516" t="s">
        <v>461</v>
      </c>
      <c r="C410" s="486"/>
      <c r="D410" s="487">
        <v>18434.89</v>
      </c>
      <c r="E410" s="487"/>
      <c r="F410" s="487"/>
      <c r="G410" s="517" t="s">
        <v>488</v>
      </c>
    </row>
    <row r="411" spans="1:7" ht="12.75" customHeight="1" x14ac:dyDescent="0.2">
      <c r="A411" s="389"/>
      <c r="B411" s="516" t="s">
        <v>462</v>
      </c>
      <c r="C411" s="486"/>
      <c r="D411" s="487">
        <v>937.92</v>
      </c>
      <c r="E411" s="487"/>
      <c r="F411" s="487"/>
      <c r="G411" s="517" t="s">
        <v>489</v>
      </c>
    </row>
    <row r="412" spans="1:7" ht="12.75" customHeight="1" x14ac:dyDescent="0.2">
      <c r="A412" s="389"/>
      <c r="B412" s="516" t="s">
        <v>499</v>
      </c>
      <c r="C412" s="486"/>
      <c r="D412" s="487">
        <v>0</v>
      </c>
      <c r="E412" s="487"/>
      <c r="F412" s="487"/>
      <c r="G412" s="517">
        <v>3061</v>
      </c>
    </row>
    <row r="413" spans="1:7" ht="12.75" customHeight="1" x14ac:dyDescent="0.2">
      <c r="A413" s="389"/>
      <c r="B413" s="516" t="s">
        <v>508</v>
      </c>
      <c r="C413" s="486"/>
      <c r="D413" s="487">
        <v>0</v>
      </c>
      <c r="E413" s="487"/>
      <c r="F413" s="487"/>
      <c r="G413" s="517">
        <v>3063</v>
      </c>
    </row>
    <row r="414" spans="1:7" ht="12.75" customHeight="1" x14ac:dyDescent="0.2">
      <c r="A414" s="389"/>
      <c r="B414" s="516" t="s">
        <v>463</v>
      </c>
      <c r="C414" s="486"/>
      <c r="D414" s="487">
        <v>340</v>
      </c>
      <c r="E414" s="487"/>
      <c r="F414" s="487"/>
      <c r="G414" s="517" t="s">
        <v>490</v>
      </c>
    </row>
    <row r="415" spans="1:7" ht="12.75" customHeight="1" x14ac:dyDescent="0.2">
      <c r="A415" s="389"/>
      <c r="B415" s="516" t="s">
        <v>512</v>
      </c>
      <c r="C415" s="486"/>
      <c r="D415" s="487">
        <v>950</v>
      </c>
      <c r="E415" s="487"/>
      <c r="F415" s="487"/>
      <c r="G415" s="517">
        <v>3065</v>
      </c>
    </row>
    <row r="416" spans="1:7" ht="12.75" customHeight="1" x14ac:dyDescent="0.2">
      <c r="A416" s="389"/>
      <c r="B416" s="516" t="s">
        <v>464</v>
      </c>
      <c r="C416" s="486"/>
      <c r="D416" s="487">
        <v>0</v>
      </c>
      <c r="E416" s="487"/>
      <c r="F416" s="487"/>
      <c r="G416" s="517" t="s">
        <v>491</v>
      </c>
    </row>
    <row r="417" spans="1:8" ht="12.75" customHeight="1" x14ac:dyDescent="0.2">
      <c r="A417" s="389"/>
      <c r="B417" s="516" t="s">
        <v>465</v>
      </c>
      <c r="C417" s="486"/>
      <c r="D417" s="487">
        <v>27704.34</v>
      </c>
      <c r="E417" s="487"/>
      <c r="F417" s="487"/>
      <c r="G417" s="517" t="s">
        <v>492</v>
      </c>
      <c r="H417" s="489"/>
    </row>
    <row r="418" spans="1:8" ht="12.75" customHeight="1" x14ac:dyDescent="0.2">
      <c r="A418" s="389"/>
      <c r="B418" s="516" t="s">
        <v>466</v>
      </c>
      <c r="C418" s="486"/>
      <c r="D418" s="487">
        <v>0</v>
      </c>
      <c r="E418" s="487"/>
      <c r="F418" s="487"/>
      <c r="G418" s="517">
        <v>3068</v>
      </c>
      <c r="H418" s="489"/>
    </row>
    <row r="419" spans="1:8" ht="12.75" customHeight="1" x14ac:dyDescent="0.2">
      <c r="A419" s="389"/>
      <c r="B419" s="516" t="s">
        <v>467</v>
      </c>
      <c r="C419" s="486"/>
      <c r="D419" s="487">
        <v>4.7</v>
      </c>
      <c r="E419" s="487"/>
      <c r="F419" s="487"/>
      <c r="G419" s="517">
        <v>3069</v>
      </c>
      <c r="H419" s="489"/>
    </row>
    <row r="420" spans="1:8" ht="12.75" customHeight="1" x14ac:dyDescent="0.2">
      <c r="A420" s="389"/>
      <c r="B420" s="516" t="s">
        <v>503</v>
      </c>
      <c r="C420" s="486"/>
      <c r="D420" s="487">
        <v>0</v>
      </c>
      <c r="E420" s="487"/>
      <c r="F420" s="487"/>
      <c r="G420" s="517">
        <v>3073</v>
      </c>
    </row>
    <row r="421" spans="1:8" ht="12.75" customHeight="1" x14ac:dyDescent="0.2">
      <c r="A421" s="389"/>
      <c r="B421" s="519" t="s">
        <v>248</v>
      </c>
      <c r="D421" s="487">
        <v>150662.49</v>
      </c>
      <c r="E421" s="518">
        <f>SUM(D421)</f>
        <v>150662.49</v>
      </c>
      <c r="F421" s="487"/>
      <c r="G421" s="477">
        <v>3001</v>
      </c>
      <c r="H421" s="489"/>
    </row>
    <row r="422" spans="1:8" ht="12.75" customHeight="1" x14ac:dyDescent="0.2">
      <c r="A422" s="389"/>
      <c r="B422" s="520" t="s">
        <v>345</v>
      </c>
      <c r="C422" s="491"/>
      <c r="D422" s="487"/>
      <c r="E422" s="518">
        <f>SUM(D423:D428)</f>
        <v>692648.4800000001</v>
      </c>
      <c r="F422" s="487"/>
    </row>
    <row r="423" spans="1:8" ht="12.75" customHeight="1" x14ac:dyDescent="0.2">
      <c r="A423" s="389"/>
      <c r="B423" s="488"/>
      <c r="C423" s="490" t="s">
        <v>249</v>
      </c>
      <c r="D423" s="487">
        <v>237392.13</v>
      </c>
      <c r="E423" s="487"/>
      <c r="F423" s="487"/>
      <c r="G423" s="477">
        <v>4000</v>
      </c>
    </row>
    <row r="424" spans="1:8" ht="12.75" customHeight="1" x14ac:dyDescent="0.2">
      <c r="A424" s="389"/>
      <c r="B424" s="488"/>
      <c r="C424" s="490" t="s">
        <v>250</v>
      </c>
      <c r="D424" s="487">
        <v>0</v>
      </c>
      <c r="E424" s="487"/>
      <c r="F424" s="487"/>
      <c r="G424" s="477">
        <v>4001</v>
      </c>
    </row>
    <row r="425" spans="1:8" ht="12.75" customHeight="1" x14ac:dyDescent="0.2">
      <c r="A425" s="389"/>
      <c r="B425" s="488"/>
      <c r="C425" s="490" t="s">
        <v>251</v>
      </c>
      <c r="D425" s="487">
        <v>328697.95</v>
      </c>
      <c r="E425" s="487"/>
      <c r="F425" s="487"/>
    </row>
    <row r="426" spans="1:8" ht="12.75" customHeight="1" x14ac:dyDescent="0.2">
      <c r="A426" s="389"/>
      <c r="B426" s="488"/>
      <c r="C426" s="490" t="s">
        <v>252</v>
      </c>
      <c r="D426" s="487">
        <v>3153.15</v>
      </c>
      <c r="E426" s="487"/>
      <c r="F426" s="487"/>
    </row>
    <row r="427" spans="1:8" ht="12.75" customHeight="1" x14ac:dyDescent="0.2">
      <c r="A427" s="389"/>
      <c r="B427" s="488"/>
      <c r="C427" s="491" t="s">
        <v>253</v>
      </c>
      <c r="D427" s="487">
        <v>24085.84</v>
      </c>
      <c r="E427" s="487"/>
      <c r="F427" s="487"/>
    </row>
    <row r="428" spans="1:8" ht="12.75" customHeight="1" x14ac:dyDescent="0.2">
      <c r="A428" s="389"/>
      <c r="B428" s="488"/>
      <c r="C428" s="491" t="s">
        <v>114</v>
      </c>
      <c r="D428" s="487">
        <v>99319.41</v>
      </c>
      <c r="E428" s="487"/>
      <c r="F428" s="487"/>
    </row>
    <row r="429" spans="1:8" ht="12.75" customHeight="1" x14ac:dyDescent="0.2">
      <c r="A429" s="492"/>
      <c r="B429" s="520" t="s">
        <v>651</v>
      </c>
      <c r="C429" s="491"/>
      <c r="D429" s="487">
        <v>0</v>
      </c>
      <c r="E429" s="518">
        <f>D429</f>
        <v>0</v>
      </c>
      <c r="F429" s="495"/>
    </row>
    <row r="430" spans="1:8" ht="12.75" customHeight="1" x14ac:dyDescent="0.2">
      <c r="A430" s="492"/>
      <c r="B430" s="522" t="s">
        <v>255</v>
      </c>
      <c r="D430" s="487">
        <v>0</v>
      </c>
      <c r="E430" s="521">
        <f>D430</f>
        <v>0</v>
      </c>
      <c r="F430" s="495"/>
      <c r="G430" s="477">
        <v>5000</v>
      </c>
    </row>
    <row r="431" spans="1:8" ht="12.75" customHeight="1" thickBot="1" x14ac:dyDescent="0.25">
      <c r="A431" s="496"/>
      <c r="B431" s="497"/>
      <c r="C431" s="498"/>
      <c r="D431" s="499"/>
      <c r="E431" s="500"/>
      <c r="F431" s="889">
        <f>SUM(E377:E430)</f>
        <v>1060055.31</v>
      </c>
      <c r="H431" s="501">
        <f>'Sched-B1'!B11+'Sched-B2'!E139+'Sched-D1'!F431-8569608.88-98134.41</f>
        <v>1.4551915228366852E-10</v>
      </c>
    </row>
    <row r="432" spans="1:8" ht="12.75" customHeight="1" x14ac:dyDescent="0.2">
      <c r="A432" s="482" t="s">
        <v>521</v>
      </c>
      <c r="B432" s="611" t="s">
        <v>652</v>
      </c>
      <c r="C432" s="483"/>
      <c r="D432" s="732">
        <v>0</v>
      </c>
      <c r="E432" s="600">
        <f>D432</f>
        <v>0</v>
      </c>
      <c r="F432" s="733"/>
    </row>
    <row r="433" spans="1:10" ht="12.75" customHeight="1" x14ac:dyDescent="0.2">
      <c r="A433" s="389"/>
      <c r="B433" s="514" t="s">
        <v>440</v>
      </c>
      <c r="C433" s="486"/>
      <c r="D433" s="734"/>
      <c r="E433" s="735">
        <f>SUM(D433:D472)</f>
        <v>1361543.8699999999</v>
      </c>
      <c r="F433" s="734"/>
      <c r="H433" s="489"/>
    </row>
    <row r="434" spans="1:10" ht="12.75" customHeight="1" x14ac:dyDescent="0.2">
      <c r="A434" s="389"/>
      <c r="B434" s="516" t="s">
        <v>441</v>
      </c>
      <c r="C434" s="486"/>
      <c r="D434" s="734">
        <v>966</v>
      </c>
      <c r="E434" s="734"/>
      <c r="F434" s="734"/>
      <c r="G434" s="517" t="s">
        <v>468</v>
      </c>
      <c r="H434" s="526"/>
      <c r="I434" s="430"/>
      <c r="J434" s="430"/>
    </row>
    <row r="435" spans="1:10" ht="12.75" customHeight="1" x14ac:dyDescent="0.2">
      <c r="A435" s="389"/>
      <c r="B435" s="516" t="s">
        <v>442</v>
      </c>
      <c r="C435" s="486"/>
      <c r="D435" s="734">
        <v>997.93</v>
      </c>
      <c r="E435" s="734"/>
      <c r="F435" s="734"/>
      <c r="G435" s="517" t="s">
        <v>469</v>
      </c>
      <c r="H435" s="430"/>
      <c r="I435" s="430"/>
      <c r="J435" s="430"/>
    </row>
    <row r="436" spans="1:10" ht="12.75" customHeight="1" x14ac:dyDescent="0.2">
      <c r="A436" s="389"/>
      <c r="B436" s="516" t="s">
        <v>776</v>
      </c>
      <c r="C436" s="486"/>
      <c r="D436" s="734">
        <v>0</v>
      </c>
      <c r="E436" s="734"/>
      <c r="F436" s="734"/>
      <c r="G436" s="517">
        <v>3006</v>
      </c>
      <c r="H436" s="430"/>
      <c r="I436" s="430"/>
      <c r="J436" s="430"/>
    </row>
    <row r="437" spans="1:10" ht="12.75" customHeight="1" x14ac:dyDescent="0.2">
      <c r="A437" s="389"/>
      <c r="B437" s="516" t="s">
        <v>443</v>
      </c>
      <c r="C437" s="486"/>
      <c r="D437" s="734">
        <v>13404.56</v>
      </c>
      <c r="E437" s="734"/>
      <c r="F437" s="734"/>
      <c r="G437" s="517" t="s">
        <v>470</v>
      </c>
    </row>
    <row r="438" spans="1:10" ht="12.75" customHeight="1" x14ac:dyDescent="0.2">
      <c r="A438" s="389"/>
      <c r="B438" s="516" t="s">
        <v>511</v>
      </c>
      <c r="C438" s="486"/>
      <c r="D438" s="734">
        <v>0</v>
      </c>
      <c r="E438" s="734"/>
      <c r="F438" s="734"/>
      <c r="G438" s="517">
        <v>3014</v>
      </c>
    </row>
    <row r="439" spans="1:10" ht="12.75" customHeight="1" x14ac:dyDescent="0.2">
      <c r="A439" s="389"/>
      <c r="B439" s="516" t="s">
        <v>444</v>
      </c>
      <c r="C439" s="486"/>
      <c r="D439" s="734">
        <v>0</v>
      </c>
      <c r="E439" s="734"/>
      <c r="F439" s="734"/>
      <c r="G439" s="517" t="s">
        <v>471</v>
      </c>
    </row>
    <row r="440" spans="1:10" ht="12.75" customHeight="1" x14ac:dyDescent="0.2">
      <c r="A440" s="389"/>
      <c r="B440" s="516" t="s">
        <v>445</v>
      </c>
      <c r="C440" s="486"/>
      <c r="D440" s="734">
        <v>0</v>
      </c>
      <c r="E440" s="734"/>
      <c r="F440" s="734"/>
      <c r="G440" s="517" t="s">
        <v>472</v>
      </c>
    </row>
    <row r="441" spans="1:10" ht="12.75" customHeight="1" x14ac:dyDescent="0.2">
      <c r="A441" s="389"/>
      <c r="B441" s="516" t="s">
        <v>520</v>
      </c>
      <c r="C441" s="486"/>
      <c r="D441" s="734">
        <v>0</v>
      </c>
      <c r="E441" s="734"/>
      <c r="F441" s="734"/>
      <c r="G441" s="517">
        <v>3028</v>
      </c>
    </row>
    <row r="442" spans="1:10" ht="12.75" customHeight="1" x14ac:dyDescent="0.2">
      <c r="A442" s="389"/>
      <c r="B442" s="525" t="s">
        <v>50</v>
      </c>
      <c r="C442" s="486"/>
      <c r="D442" s="734">
        <v>874692.51</v>
      </c>
      <c r="E442" s="734"/>
      <c r="F442" s="734"/>
      <c r="G442" s="517"/>
    </row>
    <row r="443" spans="1:10" ht="12.75" customHeight="1" x14ac:dyDescent="0.2">
      <c r="A443" s="389"/>
      <c r="B443" s="516" t="s">
        <v>446</v>
      </c>
      <c r="C443" s="486"/>
      <c r="D443" s="734">
        <v>917.78</v>
      </c>
      <c r="E443" s="734"/>
      <c r="F443" s="734"/>
      <c r="G443" s="517" t="s">
        <v>473</v>
      </c>
    </row>
    <row r="444" spans="1:10" ht="12.75" customHeight="1" x14ac:dyDescent="0.2">
      <c r="A444" s="389"/>
      <c r="B444" s="516" t="s">
        <v>447</v>
      </c>
      <c r="C444" s="486"/>
      <c r="D444" s="734">
        <v>4940.26</v>
      </c>
      <c r="E444" s="734"/>
      <c r="F444" s="734"/>
      <c r="G444" s="517" t="s">
        <v>474</v>
      </c>
    </row>
    <row r="445" spans="1:10" ht="12.75" customHeight="1" x14ac:dyDescent="0.2">
      <c r="A445" s="389"/>
      <c r="B445" s="516" t="s">
        <v>497</v>
      </c>
      <c r="C445" s="486"/>
      <c r="D445" s="734">
        <v>0</v>
      </c>
      <c r="E445" s="734"/>
      <c r="F445" s="734"/>
      <c r="G445" s="517">
        <v>3034</v>
      </c>
    </row>
    <row r="446" spans="1:10" ht="12.75" customHeight="1" x14ac:dyDescent="0.2">
      <c r="A446" s="389"/>
      <c r="B446" s="516" t="s">
        <v>448</v>
      </c>
      <c r="C446" s="486"/>
      <c r="D446" s="734">
        <v>0</v>
      </c>
      <c r="E446" s="734"/>
      <c r="F446" s="734"/>
      <c r="G446" s="517" t="s">
        <v>475</v>
      </c>
    </row>
    <row r="447" spans="1:10" ht="12.75" customHeight="1" x14ac:dyDescent="0.2">
      <c r="A447" s="389"/>
      <c r="B447" s="516" t="s">
        <v>449</v>
      </c>
      <c r="C447" s="486"/>
      <c r="D447" s="734">
        <v>13474.68</v>
      </c>
      <c r="E447" s="734"/>
      <c r="F447" s="734"/>
      <c r="G447" s="517" t="s">
        <v>476</v>
      </c>
    </row>
    <row r="448" spans="1:10" ht="12.75" customHeight="1" x14ac:dyDescent="0.2">
      <c r="A448" s="389"/>
      <c r="B448" s="516" t="s">
        <v>450</v>
      </c>
      <c r="C448" s="486"/>
      <c r="D448" s="734">
        <v>0</v>
      </c>
      <c r="E448" s="734"/>
      <c r="F448" s="734"/>
      <c r="G448" s="517" t="s">
        <v>477</v>
      </c>
    </row>
    <row r="449" spans="1:7" ht="12.75" customHeight="1" x14ac:dyDescent="0.2">
      <c r="A449" s="389"/>
      <c r="B449" s="516" t="s">
        <v>451</v>
      </c>
      <c r="C449" s="486"/>
      <c r="D449" s="734">
        <v>2731.88</v>
      </c>
      <c r="E449" s="734"/>
      <c r="F449" s="734"/>
      <c r="G449" s="517" t="s">
        <v>478</v>
      </c>
    </row>
    <row r="450" spans="1:7" ht="12.75" customHeight="1" x14ac:dyDescent="0.2">
      <c r="A450" s="389"/>
      <c r="B450" s="516" t="s">
        <v>452</v>
      </c>
      <c r="C450" s="486"/>
      <c r="D450" s="734">
        <v>0</v>
      </c>
      <c r="E450" s="734"/>
      <c r="F450" s="734"/>
      <c r="G450" s="517" t="s">
        <v>479</v>
      </c>
    </row>
    <row r="451" spans="1:7" ht="12.75" customHeight="1" x14ac:dyDescent="0.2">
      <c r="A451" s="389"/>
      <c r="B451" s="516" t="s">
        <v>453</v>
      </c>
      <c r="C451" s="486"/>
      <c r="D451" s="734">
        <v>437.22</v>
      </c>
      <c r="E451" s="734"/>
      <c r="F451" s="734"/>
      <c r="G451" s="517" t="s">
        <v>480</v>
      </c>
    </row>
    <row r="452" spans="1:7" ht="12.75" customHeight="1" x14ac:dyDescent="0.2">
      <c r="A452" s="389"/>
      <c r="B452" s="516" t="s">
        <v>454</v>
      </c>
      <c r="C452" s="486"/>
      <c r="D452" s="734">
        <v>155.69</v>
      </c>
      <c r="E452" s="734"/>
      <c r="F452" s="734"/>
      <c r="G452" s="517" t="s">
        <v>481</v>
      </c>
    </row>
    <row r="453" spans="1:7" ht="12.75" customHeight="1" x14ac:dyDescent="0.2">
      <c r="A453" s="389"/>
      <c r="B453" s="516" t="s">
        <v>455</v>
      </c>
      <c r="C453" s="486"/>
      <c r="D453" s="734">
        <v>4716</v>
      </c>
      <c r="E453" s="734"/>
      <c r="F453" s="734"/>
      <c r="G453" s="517" t="s">
        <v>482</v>
      </c>
    </row>
    <row r="454" spans="1:7" ht="12.75" customHeight="1" x14ac:dyDescent="0.2">
      <c r="A454" s="389"/>
      <c r="B454" s="516" t="s">
        <v>456</v>
      </c>
      <c r="C454" s="486"/>
      <c r="D454" s="734">
        <v>20081.91</v>
      </c>
      <c r="E454" s="734"/>
      <c r="F454" s="734"/>
      <c r="G454" s="517" t="s">
        <v>483</v>
      </c>
    </row>
    <row r="455" spans="1:7" ht="12.75" customHeight="1" x14ac:dyDescent="0.2">
      <c r="A455" s="389"/>
      <c r="B455" s="516" t="s">
        <v>498</v>
      </c>
      <c r="C455" s="486"/>
      <c r="D455" s="734">
        <v>29469.24</v>
      </c>
      <c r="E455" s="734"/>
      <c r="F455" s="734"/>
      <c r="G455" s="517">
        <v>3048</v>
      </c>
    </row>
    <row r="456" spans="1:7" ht="12.75" customHeight="1" x14ac:dyDescent="0.2">
      <c r="A456" s="389"/>
      <c r="B456" s="516" t="s">
        <v>457</v>
      </c>
      <c r="C456" s="486"/>
      <c r="D456" s="734">
        <v>0</v>
      </c>
      <c r="E456" s="734"/>
      <c r="F456" s="734"/>
      <c r="G456" s="517" t="s">
        <v>484</v>
      </c>
    </row>
    <row r="457" spans="1:7" ht="12.75" customHeight="1" x14ac:dyDescent="0.2">
      <c r="A457" s="389"/>
      <c r="B457" s="516" t="s">
        <v>458</v>
      </c>
      <c r="C457" s="486"/>
      <c r="D457" s="734">
        <v>0</v>
      </c>
      <c r="E457" s="734"/>
      <c r="F457" s="734"/>
      <c r="G457" s="517" t="s">
        <v>485</v>
      </c>
    </row>
    <row r="458" spans="1:7" ht="12.75" customHeight="1" x14ac:dyDescent="0.2">
      <c r="A458" s="389"/>
      <c r="B458" s="516" t="s">
        <v>501</v>
      </c>
      <c r="C458" s="486"/>
      <c r="D458" s="734">
        <v>2820.47</v>
      </c>
      <c r="E458" s="734"/>
      <c r="F458" s="734"/>
      <c r="G458" s="517">
        <v>3051</v>
      </c>
    </row>
    <row r="459" spans="1:7" ht="12.75" customHeight="1" x14ac:dyDescent="0.2">
      <c r="A459" s="389"/>
      <c r="B459" s="516" t="s">
        <v>517</v>
      </c>
      <c r="C459" s="486"/>
      <c r="D459" s="734">
        <v>0</v>
      </c>
      <c r="E459" s="734"/>
      <c r="F459" s="734"/>
      <c r="G459" s="517">
        <v>3052</v>
      </c>
    </row>
    <row r="460" spans="1:7" ht="12.75" customHeight="1" x14ac:dyDescent="0.2">
      <c r="A460" s="389"/>
      <c r="B460" s="516" t="s">
        <v>777</v>
      </c>
      <c r="C460" s="486"/>
      <c r="D460" s="734">
        <v>0</v>
      </c>
      <c r="E460" s="734"/>
      <c r="F460" s="734"/>
      <c r="G460" s="517">
        <v>3053</v>
      </c>
    </row>
    <row r="461" spans="1:7" ht="12.75" customHeight="1" x14ac:dyDescent="0.2">
      <c r="A461" s="389"/>
      <c r="B461" s="516" t="s">
        <v>459</v>
      </c>
      <c r="C461" s="486"/>
      <c r="D461" s="734">
        <v>13320</v>
      </c>
      <c r="E461" s="734"/>
      <c r="F461" s="734"/>
      <c r="G461" s="517" t="s">
        <v>486</v>
      </c>
    </row>
    <row r="462" spans="1:7" ht="12.75" customHeight="1" x14ac:dyDescent="0.2">
      <c r="A462" s="389"/>
      <c r="B462" s="516" t="s">
        <v>502</v>
      </c>
      <c r="C462" s="486"/>
      <c r="D462" s="487">
        <v>25077</v>
      </c>
      <c r="E462" s="487"/>
      <c r="F462" s="487"/>
      <c r="G462" s="517">
        <v>3056</v>
      </c>
    </row>
    <row r="463" spans="1:7" ht="12.75" customHeight="1" x14ac:dyDescent="0.2">
      <c r="A463" s="389"/>
      <c r="B463" s="516" t="s">
        <v>460</v>
      </c>
      <c r="C463" s="486"/>
      <c r="D463" s="734">
        <v>0</v>
      </c>
      <c r="E463" s="734"/>
      <c r="F463" s="734"/>
      <c r="G463" s="517" t="s">
        <v>487</v>
      </c>
    </row>
    <row r="464" spans="1:7" ht="12.75" customHeight="1" x14ac:dyDescent="0.2">
      <c r="A464" s="389"/>
      <c r="B464" s="516" t="s">
        <v>461</v>
      </c>
      <c r="C464" s="486"/>
      <c r="D464" s="734">
        <v>78760.08</v>
      </c>
      <c r="E464" s="734"/>
      <c r="F464" s="734"/>
      <c r="G464" s="517" t="s">
        <v>488</v>
      </c>
    </row>
    <row r="465" spans="1:8" ht="12.75" customHeight="1" x14ac:dyDescent="0.2">
      <c r="A465" s="389"/>
      <c r="B465" s="516" t="s">
        <v>462</v>
      </c>
      <c r="C465" s="486"/>
      <c r="D465" s="734">
        <v>1707.16</v>
      </c>
      <c r="E465" s="734"/>
      <c r="F465" s="734"/>
      <c r="G465" s="517" t="s">
        <v>489</v>
      </c>
    </row>
    <row r="466" spans="1:8" ht="12.75" customHeight="1" x14ac:dyDescent="0.2">
      <c r="A466" s="389"/>
      <c r="B466" s="516" t="s">
        <v>499</v>
      </c>
      <c r="C466" s="486"/>
      <c r="D466" s="734">
        <v>7920</v>
      </c>
      <c r="E466" s="734"/>
      <c r="F466" s="734"/>
      <c r="G466" s="517">
        <v>3061</v>
      </c>
    </row>
    <row r="467" spans="1:8" ht="12.75" customHeight="1" x14ac:dyDescent="0.2">
      <c r="A467" s="389"/>
      <c r="B467" s="516" t="s">
        <v>463</v>
      </c>
      <c r="C467" s="486"/>
      <c r="D467" s="734">
        <v>0</v>
      </c>
      <c r="E467" s="734"/>
      <c r="F467" s="734"/>
      <c r="G467" s="517" t="s">
        <v>490</v>
      </c>
    </row>
    <row r="468" spans="1:8" ht="12.75" customHeight="1" x14ac:dyDescent="0.2">
      <c r="A468" s="389"/>
      <c r="B468" s="516" t="s">
        <v>512</v>
      </c>
      <c r="C468" s="486"/>
      <c r="D468" s="734">
        <v>0</v>
      </c>
      <c r="E468" s="734"/>
      <c r="F468" s="734"/>
      <c r="G468" s="517">
        <v>3065</v>
      </c>
    </row>
    <row r="469" spans="1:8" ht="12.75" customHeight="1" x14ac:dyDescent="0.2">
      <c r="A469" s="389"/>
      <c r="B469" s="516" t="s">
        <v>464</v>
      </c>
      <c r="C469" s="486"/>
      <c r="D469" s="734">
        <v>0</v>
      </c>
      <c r="E469" s="734"/>
      <c r="F469" s="734"/>
      <c r="G469" s="517" t="s">
        <v>491</v>
      </c>
    </row>
    <row r="470" spans="1:8" ht="12.75" customHeight="1" x14ac:dyDescent="0.2">
      <c r="A470" s="389"/>
      <c r="B470" s="516" t="s">
        <v>465</v>
      </c>
      <c r="C470" s="486"/>
      <c r="D470" s="734">
        <v>264837.3</v>
      </c>
      <c r="E470" s="734"/>
      <c r="F470" s="734"/>
      <c r="G470" s="517" t="s">
        <v>492</v>
      </c>
      <c r="H470" s="489"/>
    </row>
    <row r="471" spans="1:8" ht="12.75" customHeight="1" x14ac:dyDescent="0.2">
      <c r="A471" s="389"/>
      <c r="B471" s="516" t="s">
        <v>466</v>
      </c>
      <c r="C471" s="486"/>
      <c r="D471" s="734">
        <v>0</v>
      </c>
      <c r="E471" s="734"/>
      <c r="F471" s="734"/>
      <c r="G471" s="517" t="s">
        <v>493</v>
      </c>
    </row>
    <row r="472" spans="1:8" ht="12.75" customHeight="1" x14ac:dyDescent="0.2">
      <c r="A472" s="389"/>
      <c r="B472" s="516" t="s">
        <v>467</v>
      </c>
      <c r="C472" s="486"/>
      <c r="D472" s="734">
        <v>116.2</v>
      </c>
      <c r="E472" s="734"/>
      <c r="F472" s="734"/>
      <c r="G472" s="517" t="s">
        <v>494</v>
      </c>
      <c r="H472" s="489"/>
    </row>
    <row r="473" spans="1:8" ht="12.75" customHeight="1" x14ac:dyDescent="0.2">
      <c r="A473" s="389"/>
      <c r="B473" s="519" t="s">
        <v>248</v>
      </c>
      <c r="C473" s="490"/>
      <c r="D473" s="734">
        <v>408064.45</v>
      </c>
      <c r="E473" s="735">
        <f>SUM(D473)</f>
        <v>408064.45</v>
      </c>
      <c r="F473" s="734"/>
      <c r="G473" s="517" t="s">
        <v>656</v>
      </c>
      <c r="H473" s="489"/>
    </row>
    <row r="474" spans="1:8" ht="12.75" customHeight="1" x14ac:dyDescent="0.2">
      <c r="A474" s="389"/>
      <c r="B474" s="520" t="s">
        <v>345</v>
      </c>
      <c r="C474" s="491"/>
      <c r="D474" s="734"/>
      <c r="E474" s="735">
        <f>SUM(D475:D480)</f>
        <v>2333693.7800000003</v>
      </c>
      <c r="F474" s="734"/>
      <c r="H474" s="489"/>
    </row>
    <row r="475" spans="1:8" ht="12.75" customHeight="1" x14ac:dyDescent="0.2">
      <c r="A475" s="389"/>
      <c r="B475" s="488"/>
      <c r="C475" s="490" t="s">
        <v>249</v>
      </c>
      <c r="D475" s="734">
        <v>152651.04999999999</v>
      </c>
      <c r="E475" s="734"/>
      <c r="F475" s="734"/>
      <c r="G475" s="477">
        <v>4000</v>
      </c>
      <c r="H475" s="489"/>
    </row>
    <row r="476" spans="1:8" ht="12.75" customHeight="1" x14ac:dyDescent="0.2">
      <c r="A476" s="389"/>
      <c r="B476" s="488"/>
      <c r="C476" s="490" t="s">
        <v>250</v>
      </c>
      <c r="D476" s="734">
        <v>2756.93</v>
      </c>
      <c r="E476" s="734"/>
      <c r="F476" s="734"/>
      <c r="G476" s="477">
        <v>4001</v>
      </c>
    </row>
    <row r="477" spans="1:8" ht="12.75" customHeight="1" x14ac:dyDescent="0.2">
      <c r="A477" s="389"/>
      <c r="B477" s="488"/>
      <c r="C477" s="490" t="s">
        <v>251</v>
      </c>
      <c r="D477" s="734">
        <v>1722459.16</v>
      </c>
      <c r="E477" s="734"/>
      <c r="F477" s="734"/>
      <c r="G477" s="477">
        <v>4002</v>
      </c>
    </row>
    <row r="478" spans="1:8" ht="12.75" customHeight="1" x14ac:dyDescent="0.2">
      <c r="A478" s="389"/>
      <c r="B478" s="488"/>
      <c r="C478" s="490" t="s">
        <v>252</v>
      </c>
      <c r="D478" s="734">
        <v>3210</v>
      </c>
      <c r="E478" s="734"/>
      <c r="F478" s="734"/>
      <c r="G478" s="477">
        <v>4003</v>
      </c>
    </row>
    <row r="479" spans="1:8" ht="12.75" customHeight="1" x14ac:dyDescent="0.2">
      <c r="A479" s="502"/>
      <c r="B479" s="488"/>
      <c r="C479" s="491" t="s">
        <v>253</v>
      </c>
      <c r="D479" s="734">
        <v>27269.119999999999</v>
      </c>
      <c r="E479" s="734"/>
      <c r="F479" s="734"/>
      <c r="G479" s="477">
        <v>4004</v>
      </c>
    </row>
    <row r="480" spans="1:8" ht="12.75" customHeight="1" x14ac:dyDescent="0.2">
      <c r="A480" s="389"/>
      <c r="B480" s="488"/>
      <c r="C480" s="491" t="s">
        <v>114</v>
      </c>
      <c r="D480" s="734">
        <v>425347.52</v>
      </c>
      <c r="E480" s="734"/>
      <c r="F480" s="734"/>
      <c r="G480" s="477">
        <v>4005</v>
      </c>
    </row>
    <row r="481" spans="1:9" ht="12.75" customHeight="1" x14ac:dyDescent="0.2">
      <c r="A481" s="389"/>
      <c r="B481" s="520" t="s">
        <v>651</v>
      </c>
      <c r="C481" s="491"/>
      <c r="D481" s="734">
        <v>0</v>
      </c>
      <c r="E481" s="735">
        <f>D481</f>
        <v>0</v>
      </c>
      <c r="F481" s="734"/>
    </row>
    <row r="482" spans="1:9" ht="12.75" customHeight="1" x14ac:dyDescent="0.2">
      <c r="A482" s="389"/>
      <c r="B482" s="520" t="s">
        <v>770</v>
      </c>
      <c r="C482" s="491"/>
      <c r="D482" s="734">
        <f>9320.91*0</f>
        <v>0</v>
      </c>
      <c r="E482" s="735">
        <f>D482</f>
        <v>0</v>
      </c>
      <c r="F482" s="734"/>
      <c r="G482" s="814" t="s">
        <v>771</v>
      </c>
    </row>
    <row r="483" spans="1:9" ht="12.75" customHeight="1" x14ac:dyDescent="0.25">
      <c r="A483" s="389"/>
      <c r="B483" s="522" t="s">
        <v>779</v>
      </c>
      <c r="D483" s="734">
        <v>0</v>
      </c>
      <c r="E483" s="736">
        <f>D483</f>
        <v>0</v>
      </c>
      <c r="F483" s="734"/>
      <c r="G483" s="477" t="s">
        <v>778</v>
      </c>
      <c r="H483" s="570"/>
      <c r="I483" s="140"/>
    </row>
    <row r="484" spans="1:9" ht="12.75" customHeight="1" thickBot="1" x14ac:dyDescent="0.25">
      <c r="A484" s="496"/>
      <c r="B484" s="497"/>
      <c r="C484" s="498"/>
      <c r="D484" s="737"/>
      <c r="E484" s="738"/>
      <c r="F484" s="889">
        <f>SUM(E432:E484)*1</f>
        <v>4103302.1</v>
      </c>
      <c r="H484" s="501">
        <f>'Sched-B1'!B12+'Sched-B2'!E156+'Sched-D1'!F484-17820135.99-874692.51</f>
        <v>5.3551048040390015E-9</v>
      </c>
    </row>
    <row r="485" spans="1:9" ht="12.75" customHeight="1" x14ac:dyDescent="0.2">
      <c r="A485" s="482" t="s">
        <v>509</v>
      </c>
      <c r="B485" s="611" t="s">
        <v>652</v>
      </c>
      <c r="C485" s="483"/>
      <c r="D485" s="484">
        <f>450899.67+5000</f>
        <v>455899.67</v>
      </c>
      <c r="E485" s="485">
        <f>D485</f>
        <v>455899.67</v>
      </c>
      <c r="F485" s="485"/>
      <c r="G485" s="453" t="s">
        <v>653</v>
      </c>
    </row>
    <row r="486" spans="1:9" ht="12.75" customHeight="1" x14ac:dyDescent="0.2">
      <c r="A486" s="389"/>
      <c r="B486" s="514" t="s">
        <v>440</v>
      </c>
      <c r="C486" s="486"/>
      <c r="D486" s="487"/>
      <c r="E486" s="518">
        <f>SUM(D486:D531)</f>
        <v>1998141.7899999996</v>
      </c>
      <c r="F486" s="487"/>
    </row>
    <row r="487" spans="1:9" ht="12.75" customHeight="1" x14ac:dyDescent="0.2">
      <c r="A487" s="389"/>
      <c r="B487" s="516" t="s">
        <v>441</v>
      </c>
      <c r="C487" s="486"/>
      <c r="D487" s="487">
        <v>4002.72</v>
      </c>
      <c r="E487" s="487"/>
      <c r="F487" s="487"/>
      <c r="G487" s="517" t="s">
        <v>468</v>
      </c>
    </row>
    <row r="488" spans="1:9" ht="12.75" customHeight="1" x14ac:dyDescent="0.2">
      <c r="A488" s="389"/>
      <c r="B488" s="516" t="s">
        <v>442</v>
      </c>
      <c r="C488" s="486"/>
      <c r="D488" s="487">
        <v>150</v>
      </c>
      <c r="E488" s="487"/>
      <c r="F488" s="487"/>
      <c r="G488" s="517" t="s">
        <v>469</v>
      </c>
    </row>
    <row r="489" spans="1:9" ht="12.75" customHeight="1" x14ac:dyDescent="0.2">
      <c r="A489" s="389"/>
      <c r="B489" s="516" t="s">
        <v>500</v>
      </c>
      <c r="C489" s="486"/>
      <c r="D489" s="487">
        <v>0</v>
      </c>
      <c r="E489" s="487"/>
      <c r="F489" s="487"/>
      <c r="G489" s="517">
        <v>3003</v>
      </c>
    </row>
    <row r="490" spans="1:9" ht="12.75" customHeight="1" x14ac:dyDescent="0.2">
      <c r="A490" s="389"/>
      <c r="B490" s="516" t="s">
        <v>772</v>
      </c>
      <c r="C490" s="486"/>
      <c r="D490" s="487">
        <v>0</v>
      </c>
      <c r="E490" s="487"/>
      <c r="F490" s="487"/>
      <c r="G490" s="517">
        <v>3005</v>
      </c>
    </row>
    <row r="491" spans="1:9" ht="12.75" customHeight="1" x14ac:dyDescent="0.2">
      <c r="A491" s="389"/>
      <c r="B491" s="516" t="s">
        <v>513</v>
      </c>
      <c r="C491" s="486"/>
      <c r="D491" s="487">
        <v>0</v>
      </c>
      <c r="E491" s="487"/>
      <c r="F491" s="487"/>
      <c r="G491" s="517">
        <v>3010</v>
      </c>
    </row>
    <row r="492" spans="1:9" ht="12.75" customHeight="1" x14ac:dyDescent="0.2">
      <c r="A492" s="389"/>
      <c r="B492" s="516" t="s">
        <v>443</v>
      </c>
      <c r="C492" s="486"/>
      <c r="D492" s="487">
        <v>0</v>
      </c>
      <c r="E492" s="487"/>
      <c r="F492" s="487"/>
      <c r="G492" s="517" t="s">
        <v>470</v>
      </c>
    </row>
    <row r="493" spans="1:9" ht="12.75" customHeight="1" x14ac:dyDescent="0.2">
      <c r="A493" s="389"/>
      <c r="B493" s="516" t="s">
        <v>511</v>
      </c>
      <c r="C493" s="486"/>
      <c r="D493" s="487">
        <v>0</v>
      </c>
      <c r="E493" s="487"/>
      <c r="F493" s="487"/>
      <c r="G493" s="517">
        <v>3014</v>
      </c>
    </row>
    <row r="494" spans="1:9" ht="12.75" customHeight="1" x14ac:dyDescent="0.2">
      <c r="A494" s="389"/>
      <c r="B494" s="516" t="s">
        <v>444</v>
      </c>
      <c r="C494" s="486"/>
      <c r="D494" s="487">
        <v>0</v>
      </c>
      <c r="E494" s="487"/>
      <c r="F494" s="487"/>
      <c r="G494" s="517" t="s">
        <v>471</v>
      </c>
    </row>
    <row r="495" spans="1:9" ht="12.75" customHeight="1" x14ac:dyDescent="0.2">
      <c r="A495" s="389"/>
      <c r="B495" s="516" t="s">
        <v>445</v>
      </c>
      <c r="C495" s="486"/>
      <c r="D495" s="487">
        <v>0</v>
      </c>
      <c r="E495" s="487"/>
      <c r="F495" s="487"/>
      <c r="G495" s="517" t="s">
        <v>472</v>
      </c>
    </row>
    <row r="496" spans="1:9" ht="12.75" customHeight="1" x14ac:dyDescent="0.2">
      <c r="A496" s="389"/>
      <c r="B496" s="525" t="s">
        <v>50</v>
      </c>
      <c r="C496" s="486"/>
      <c r="D496" s="487">
        <v>1198925.78</v>
      </c>
      <c r="E496" s="487"/>
      <c r="F496" s="487"/>
      <c r="G496" s="517"/>
    </row>
    <row r="497" spans="1:7" ht="12.75" customHeight="1" x14ac:dyDescent="0.2">
      <c r="A497" s="389"/>
      <c r="B497" s="516" t="s">
        <v>780</v>
      </c>
      <c r="C497" s="486"/>
      <c r="D497" s="487">
        <v>0</v>
      </c>
      <c r="E497" s="487"/>
      <c r="F497" s="487"/>
      <c r="G497" s="517">
        <v>3026</v>
      </c>
    </row>
    <row r="498" spans="1:7" ht="12.75" customHeight="1" x14ac:dyDescent="0.2">
      <c r="A498" s="389"/>
      <c r="B498" s="516" t="s">
        <v>505</v>
      </c>
      <c r="C498" s="486"/>
      <c r="D498" s="487">
        <v>0</v>
      </c>
      <c r="E498" s="487"/>
      <c r="F498" s="487"/>
      <c r="G498" s="517">
        <v>3029</v>
      </c>
    </row>
    <row r="499" spans="1:7" ht="12.75" customHeight="1" x14ac:dyDescent="0.2">
      <c r="A499" s="389"/>
      <c r="B499" s="516" t="s">
        <v>446</v>
      </c>
      <c r="C499" s="486"/>
      <c r="D499" s="487">
        <v>5309.9</v>
      </c>
      <c r="E499" s="487"/>
      <c r="F499" s="487"/>
      <c r="G499" s="517" t="s">
        <v>473</v>
      </c>
    </row>
    <row r="500" spans="1:7" ht="12.75" customHeight="1" x14ac:dyDescent="0.2">
      <c r="A500" s="389"/>
      <c r="B500" s="516" t="s">
        <v>447</v>
      </c>
      <c r="C500" s="486"/>
      <c r="D500" s="487">
        <v>419</v>
      </c>
      <c r="E500" s="487"/>
      <c r="F500" s="487"/>
      <c r="G500" s="517" t="s">
        <v>474</v>
      </c>
    </row>
    <row r="501" spans="1:7" ht="12.75" customHeight="1" x14ac:dyDescent="0.2">
      <c r="A501" s="389"/>
      <c r="B501" s="516" t="s">
        <v>497</v>
      </c>
      <c r="C501" s="486"/>
      <c r="D501" s="487">
        <v>0</v>
      </c>
      <c r="E501" s="487"/>
      <c r="F501" s="487"/>
      <c r="G501" s="517">
        <v>3034</v>
      </c>
    </row>
    <row r="502" spans="1:7" ht="12.75" customHeight="1" x14ac:dyDescent="0.2">
      <c r="A502" s="389"/>
      <c r="B502" s="516" t="s">
        <v>448</v>
      </c>
      <c r="C502" s="486"/>
      <c r="D502" s="487">
        <v>3382.21</v>
      </c>
      <c r="E502" s="487"/>
      <c r="F502" s="487"/>
      <c r="G502" s="517" t="s">
        <v>475</v>
      </c>
    </row>
    <row r="503" spans="1:7" ht="12.75" customHeight="1" x14ac:dyDescent="0.2">
      <c r="A503" s="389"/>
      <c r="B503" s="516" t="s">
        <v>449</v>
      </c>
      <c r="C503" s="486"/>
      <c r="D503" s="487">
        <v>20447.53</v>
      </c>
      <c r="E503" s="487"/>
      <c r="F503" s="487"/>
      <c r="G503" s="517" t="s">
        <v>476</v>
      </c>
    </row>
    <row r="504" spans="1:7" ht="12.75" customHeight="1" x14ac:dyDescent="0.2">
      <c r="A504" s="389"/>
      <c r="B504" s="516" t="s">
        <v>450</v>
      </c>
      <c r="C504" s="486"/>
      <c r="D504" s="487">
        <v>0</v>
      </c>
      <c r="E504" s="487"/>
      <c r="F504" s="487"/>
      <c r="G504" s="517" t="s">
        <v>477</v>
      </c>
    </row>
    <row r="505" spans="1:7" ht="12.75" customHeight="1" x14ac:dyDescent="0.2">
      <c r="A505" s="389"/>
      <c r="B505" s="516" t="s">
        <v>451</v>
      </c>
      <c r="C505" s="486"/>
      <c r="D505" s="487">
        <v>2862.13</v>
      </c>
      <c r="E505" s="487"/>
      <c r="F505" s="487"/>
      <c r="G505" s="517" t="s">
        <v>478</v>
      </c>
    </row>
    <row r="506" spans="1:7" ht="12.75" customHeight="1" x14ac:dyDescent="0.2">
      <c r="A506" s="389"/>
      <c r="B506" s="516" t="s">
        <v>514</v>
      </c>
      <c r="C506" s="486"/>
      <c r="D506" s="487">
        <v>0</v>
      </c>
      <c r="E506" s="487"/>
      <c r="F506" s="487"/>
      <c r="G506" s="517">
        <v>3039</v>
      </c>
    </row>
    <row r="507" spans="1:7" ht="12.75" customHeight="1" x14ac:dyDescent="0.2">
      <c r="A507" s="389"/>
      <c r="B507" s="516" t="s">
        <v>452</v>
      </c>
      <c r="C507" s="486"/>
      <c r="D507" s="487">
        <v>0</v>
      </c>
      <c r="E507" s="487"/>
      <c r="F507" s="487"/>
      <c r="G507" s="517" t="s">
        <v>479</v>
      </c>
    </row>
    <row r="508" spans="1:7" ht="12.75" customHeight="1" x14ac:dyDescent="0.2">
      <c r="A508" s="389"/>
      <c r="B508" s="516" t="s">
        <v>453</v>
      </c>
      <c r="C508" s="486"/>
      <c r="D508" s="487">
        <v>5.76</v>
      </c>
      <c r="E508" s="487"/>
      <c r="F508" s="487"/>
      <c r="G508" s="517" t="s">
        <v>480</v>
      </c>
    </row>
    <row r="509" spans="1:7" ht="12.75" customHeight="1" x14ac:dyDescent="0.2">
      <c r="A509" s="389"/>
      <c r="B509" s="516" t="s">
        <v>507</v>
      </c>
      <c r="C509" s="486"/>
      <c r="D509" s="487">
        <v>0</v>
      </c>
      <c r="E509" s="487"/>
      <c r="F509" s="487"/>
      <c r="G509" s="517">
        <v>3042</v>
      </c>
    </row>
    <row r="510" spans="1:7" ht="12.75" customHeight="1" x14ac:dyDescent="0.2">
      <c r="A510" s="389"/>
      <c r="B510" s="516" t="s">
        <v>454</v>
      </c>
      <c r="C510" s="486"/>
      <c r="D510" s="487">
        <v>273.3</v>
      </c>
      <c r="E510" s="487"/>
      <c r="F510" s="487"/>
      <c r="G510" s="517" t="s">
        <v>481</v>
      </c>
    </row>
    <row r="511" spans="1:7" ht="12.75" customHeight="1" x14ac:dyDescent="0.2">
      <c r="A511" s="389"/>
      <c r="B511" s="516" t="s">
        <v>455</v>
      </c>
      <c r="C511" s="486"/>
      <c r="D511" s="487">
        <v>0</v>
      </c>
      <c r="E511" s="487"/>
      <c r="F511" s="487"/>
      <c r="G511" s="517" t="s">
        <v>482</v>
      </c>
    </row>
    <row r="512" spans="1:7" ht="12.75" customHeight="1" x14ac:dyDescent="0.2">
      <c r="A512" s="389"/>
      <c r="B512" s="516" t="s">
        <v>456</v>
      </c>
      <c r="C512" s="486"/>
      <c r="D512" s="487">
        <v>0</v>
      </c>
      <c r="E512" s="487"/>
      <c r="F512" s="487"/>
      <c r="G512" s="517" t="s">
        <v>483</v>
      </c>
    </row>
    <row r="513" spans="1:8" ht="12.75" customHeight="1" x14ac:dyDescent="0.2">
      <c r="A513" s="389"/>
      <c r="B513" s="516" t="s">
        <v>498</v>
      </c>
      <c r="C513" s="486"/>
      <c r="D513" s="487">
        <v>60111.19</v>
      </c>
      <c r="E513" s="487"/>
      <c r="F513" s="487"/>
      <c r="G513" s="517">
        <v>3048</v>
      </c>
    </row>
    <row r="514" spans="1:8" ht="12.75" customHeight="1" x14ac:dyDescent="0.2">
      <c r="A514" s="389"/>
      <c r="B514" s="516" t="s">
        <v>457</v>
      </c>
      <c r="C514" s="486"/>
      <c r="D514" s="487">
        <v>4902</v>
      </c>
      <c r="E514" s="487"/>
      <c r="F514" s="487"/>
      <c r="G514" s="517" t="s">
        <v>484</v>
      </c>
    </row>
    <row r="515" spans="1:8" ht="12.75" customHeight="1" x14ac:dyDescent="0.2">
      <c r="A515" s="389"/>
      <c r="B515" s="516" t="s">
        <v>458</v>
      </c>
      <c r="C515" s="486"/>
      <c r="D515" s="487">
        <v>782.41</v>
      </c>
      <c r="E515" s="487"/>
      <c r="F515" s="487"/>
      <c r="G515" s="517" t="s">
        <v>485</v>
      </c>
    </row>
    <row r="516" spans="1:8" ht="12.75" customHeight="1" x14ac:dyDescent="0.2">
      <c r="A516" s="389"/>
      <c r="B516" s="516" t="s">
        <v>501</v>
      </c>
      <c r="C516" s="486"/>
      <c r="D516" s="487">
        <v>0</v>
      </c>
      <c r="E516" s="487"/>
      <c r="F516" s="487"/>
      <c r="G516" s="517">
        <v>3051</v>
      </c>
    </row>
    <row r="517" spans="1:8" ht="12.75" customHeight="1" x14ac:dyDescent="0.2">
      <c r="A517" s="389"/>
      <c r="B517" s="516" t="s">
        <v>517</v>
      </c>
      <c r="C517" s="486"/>
      <c r="D517" s="734">
        <v>32246.5</v>
      </c>
      <c r="E517" s="734"/>
      <c r="F517" s="734"/>
      <c r="G517" s="517">
        <v>3052</v>
      </c>
    </row>
    <row r="518" spans="1:8" ht="12.75" customHeight="1" x14ac:dyDescent="0.2">
      <c r="A518" s="389"/>
      <c r="B518" s="516" t="s">
        <v>777</v>
      </c>
      <c r="C518" s="486"/>
      <c r="D518" s="734">
        <v>0</v>
      </c>
      <c r="E518" s="734"/>
      <c r="F518" s="734"/>
      <c r="G518" s="517">
        <v>3053</v>
      </c>
    </row>
    <row r="519" spans="1:8" ht="12.75" customHeight="1" x14ac:dyDescent="0.2">
      <c r="A519" s="389"/>
      <c r="B519" s="516" t="s">
        <v>459</v>
      </c>
      <c r="C519" s="486"/>
      <c r="D519" s="487">
        <v>0</v>
      </c>
      <c r="E519" s="487"/>
      <c r="F519" s="487"/>
      <c r="G519" s="517" t="s">
        <v>486</v>
      </c>
    </row>
    <row r="520" spans="1:8" ht="12.75" customHeight="1" x14ac:dyDescent="0.2">
      <c r="A520" s="389"/>
      <c r="B520" s="516" t="s">
        <v>502</v>
      </c>
      <c r="C520" s="486"/>
      <c r="D520" s="487">
        <v>43830.49</v>
      </c>
      <c r="E520" s="487"/>
      <c r="F520" s="487"/>
      <c r="G520" s="517">
        <v>3056</v>
      </c>
    </row>
    <row r="521" spans="1:8" ht="12.75" customHeight="1" x14ac:dyDescent="0.2">
      <c r="A521" s="389"/>
      <c r="B521" s="516" t="s">
        <v>460</v>
      </c>
      <c r="C521" s="486"/>
      <c r="D521" s="487">
        <v>96012</v>
      </c>
      <c r="E521" s="487"/>
      <c r="F521" s="487"/>
      <c r="G521" s="517">
        <v>3057</v>
      </c>
    </row>
    <row r="522" spans="1:8" ht="12.75" customHeight="1" x14ac:dyDescent="0.2">
      <c r="A522" s="389"/>
      <c r="B522" s="516" t="s">
        <v>461</v>
      </c>
      <c r="C522" s="486"/>
      <c r="D522" s="487">
        <v>23202.66</v>
      </c>
      <c r="E522" s="487"/>
      <c r="F522" s="487"/>
      <c r="G522" s="517" t="s">
        <v>488</v>
      </c>
    </row>
    <row r="523" spans="1:8" ht="12.75" customHeight="1" x14ac:dyDescent="0.2">
      <c r="A523" s="389"/>
      <c r="B523" s="516" t="s">
        <v>462</v>
      </c>
      <c r="C523" s="486"/>
      <c r="D523" s="487">
        <v>17657.52</v>
      </c>
      <c r="E523" s="487"/>
      <c r="F523" s="487"/>
      <c r="G523" s="517" t="s">
        <v>489</v>
      </c>
    </row>
    <row r="524" spans="1:8" ht="12.75" customHeight="1" x14ac:dyDescent="0.2">
      <c r="A524" s="389"/>
      <c r="B524" s="516" t="s">
        <v>499</v>
      </c>
      <c r="C524" s="486"/>
      <c r="D524" s="487">
        <v>0</v>
      </c>
      <c r="E524" s="487"/>
      <c r="F524" s="487"/>
      <c r="G524" s="517">
        <v>3061</v>
      </c>
    </row>
    <row r="525" spans="1:8" ht="12.75" customHeight="1" x14ac:dyDescent="0.2">
      <c r="A525" s="389"/>
      <c r="B525" s="516" t="s">
        <v>508</v>
      </c>
      <c r="C525" s="486"/>
      <c r="D525" s="487">
        <v>291598.03999999998</v>
      </c>
      <c r="E525" s="487"/>
      <c r="F525" s="487"/>
      <c r="G525" s="517">
        <v>3063</v>
      </c>
    </row>
    <row r="526" spans="1:8" ht="12.75" customHeight="1" x14ac:dyDescent="0.2">
      <c r="A526" s="389"/>
      <c r="B526" s="516" t="s">
        <v>463</v>
      </c>
      <c r="C526" s="486"/>
      <c r="D526" s="487">
        <v>150</v>
      </c>
      <c r="E526" s="487"/>
      <c r="F526" s="487"/>
      <c r="G526" s="517" t="s">
        <v>490</v>
      </c>
    </row>
    <row r="527" spans="1:8" ht="12.75" customHeight="1" x14ac:dyDescent="0.2">
      <c r="A527" s="389"/>
      <c r="B527" s="516" t="s">
        <v>464</v>
      </c>
      <c r="C527" s="486"/>
      <c r="D527" s="487">
        <v>162.94999999999999</v>
      </c>
      <c r="E527" s="487"/>
      <c r="F527" s="487"/>
      <c r="G527" s="517" t="s">
        <v>491</v>
      </c>
    </row>
    <row r="528" spans="1:8" ht="12.75" customHeight="1" x14ac:dyDescent="0.2">
      <c r="A528" s="389"/>
      <c r="B528" s="516" t="s">
        <v>465</v>
      </c>
      <c r="C528" s="486"/>
      <c r="D528" s="487">
        <v>191679.5</v>
      </c>
      <c r="E528" s="487"/>
      <c r="F528" s="487"/>
      <c r="G528" s="517" t="s">
        <v>492</v>
      </c>
      <c r="H528" s="489"/>
    </row>
    <row r="529" spans="1:8" ht="12.75" customHeight="1" x14ac:dyDescent="0.2">
      <c r="A529" s="389"/>
      <c r="B529" s="516" t="s">
        <v>466</v>
      </c>
      <c r="C529" s="486"/>
      <c r="D529" s="487">
        <v>0</v>
      </c>
      <c r="E529" s="487"/>
      <c r="F529" s="487"/>
      <c r="G529" s="517">
        <v>3068</v>
      </c>
      <c r="H529" s="489"/>
    </row>
    <row r="530" spans="1:8" ht="12.75" customHeight="1" x14ac:dyDescent="0.2">
      <c r="A530" s="389"/>
      <c r="B530" s="516" t="s">
        <v>467</v>
      </c>
      <c r="C530" s="486"/>
      <c r="D530" s="487">
        <v>28.2</v>
      </c>
      <c r="E530" s="487"/>
      <c r="F530" s="487"/>
      <c r="G530" s="517">
        <v>3069</v>
      </c>
      <c r="H530" s="489"/>
    </row>
    <row r="531" spans="1:8" ht="12.75" customHeight="1" x14ac:dyDescent="0.2">
      <c r="A531" s="389"/>
      <c r="B531" s="516" t="s">
        <v>503</v>
      </c>
      <c r="C531" s="486"/>
      <c r="D531" s="487">
        <v>0</v>
      </c>
      <c r="E531" s="487"/>
      <c r="F531" s="487"/>
      <c r="G531" s="517">
        <v>3073</v>
      </c>
    </row>
    <row r="532" spans="1:8" ht="12.75" customHeight="1" x14ac:dyDescent="0.2">
      <c r="A532" s="389"/>
      <c r="B532" s="519" t="s">
        <v>248</v>
      </c>
      <c r="D532" s="487">
        <v>872611.49</v>
      </c>
      <c r="E532" s="518">
        <f>SUM(D532)</f>
        <v>872611.49</v>
      </c>
      <c r="F532" s="487"/>
      <c r="G532" s="477">
        <v>3001</v>
      </c>
      <c r="H532" s="489"/>
    </row>
    <row r="533" spans="1:8" ht="12.75" customHeight="1" x14ac:dyDescent="0.2">
      <c r="A533" s="389"/>
      <c r="B533" s="520" t="s">
        <v>345</v>
      </c>
      <c r="C533" s="491"/>
      <c r="D533" s="487"/>
      <c r="E533" s="518">
        <f>SUM(D534:D539)</f>
        <v>1903007.3600000003</v>
      </c>
      <c r="F533" s="487"/>
    </row>
    <row r="534" spans="1:8" ht="12.75" customHeight="1" x14ac:dyDescent="0.2">
      <c r="A534" s="389"/>
      <c r="B534" s="488"/>
      <c r="C534" s="490" t="s">
        <v>249</v>
      </c>
      <c r="D534" s="487">
        <v>64142.1</v>
      </c>
      <c r="E534" s="487"/>
      <c r="F534" s="487"/>
      <c r="G534" s="477">
        <v>4000</v>
      </c>
    </row>
    <row r="535" spans="1:8" ht="12.75" customHeight="1" x14ac:dyDescent="0.2">
      <c r="A535" s="389"/>
      <c r="B535" s="488"/>
      <c r="C535" s="490" t="s">
        <v>250</v>
      </c>
      <c r="D535" s="487">
        <v>0</v>
      </c>
      <c r="E535" s="487"/>
      <c r="F535" s="487"/>
      <c r="G535" s="477">
        <v>4001</v>
      </c>
    </row>
    <row r="536" spans="1:8" ht="12.75" customHeight="1" x14ac:dyDescent="0.2">
      <c r="A536" s="389"/>
      <c r="B536" s="488"/>
      <c r="C536" s="490" t="s">
        <v>251</v>
      </c>
      <c r="D536" s="487">
        <v>1542528.09</v>
      </c>
      <c r="E536" s="487"/>
      <c r="F536" s="487"/>
    </row>
    <row r="537" spans="1:8" ht="12.75" customHeight="1" x14ac:dyDescent="0.2">
      <c r="A537" s="389"/>
      <c r="B537" s="488"/>
      <c r="C537" s="490" t="s">
        <v>252</v>
      </c>
      <c r="D537" s="487">
        <v>3907.48</v>
      </c>
      <c r="E537" s="487"/>
      <c r="F537" s="487"/>
    </row>
    <row r="538" spans="1:8" ht="12.75" customHeight="1" x14ac:dyDescent="0.2">
      <c r="A538" s="389"/>
      <c r="B538" s="488"/>
      <c r="C538" s="491" t="s">
        <v>253</v>
      </c>
      <c r="D538" s="487">
        <v>153425.63</v>
      </c>
      <c r="E538" s="487"/>
      <c r="F538" s="487"/>
    </row>
    <row r="539" spans="1:8" ht="12.75" customHeight="1" x14ac:dyDescent="0.2">
      <c r="A539" s="389"/>
      <c r="B539" s="488"/>
      <c r="C539" s="491" t="s">
        <v>114</v>
      </c>
      <c r="D539" s="487">
        <v>139004.06</v>
      </c>
      <c r="E539" s="487"/>
      <c r="F539" s="487"/>
    </row>
    <row r="540" spans="1:8" ht="12.75" customHeight="1" x14ac:dyDescent="0.2">
      <c r="A540" s="492"/>
      <c r="B540" s="520" t="s">
        <v>770</v>
      </c>
      <c r="C540" s="491"/>
      <c r="D540" s="487">
        <f>8779.73*0</f>
        <v>0</v>
      </c>
      <c r="E540" s="518">
        <f>D540</f>
        <v>0</v>
      </c>
      <c r="F540" s="495"/>
      <c r="G540" s="814" t="s">
        <v>771</v>
      </c>
    </row>
    <row r="541" spans="1:8" ht="12.75" customHeight="1" x14ac:dyDescent="0.2">
      <c r="A541" s="492"/>
      <c r="B541" s="522" t="s">
        <v>255</v>
      </c>
      <c r="D541" s="487">
        <v>0</v>
      </c>
      <c r="E541" s="521">
        <f>D541</f>
        <v>0</v>
      </c>
      <c r="F541" s="495"/>
      <c r="G541" s="477">
        <v>5000</v>
      </c>
      <c r="H541" s="570"/>
    </row>
    <row r="542" spans="1:8" ht="12.75" customHeight="1" thickBot="1" x14ac:dyDescent="0.25">
      <c r="A542" s="496"/>
      <c r="B542" s="497"/>
      <c r="C542" s="498"/>
      <c r="D542" s="499"/>
      <c r="E542" s="500"/>
      <c r="F542" s="889">
        <f>SUM(E485:E541)-H541</f>
        <v>5229660.3099999996</v>
      </c>
      <c r="H542" s="501">
        <f>'Sched-B1'!B13+'Sched-B2'!E173+'Sched-D1'!F542-26962275.65-1198925.78</f>
        <v>0</v>
      </c>
    </row>
    <row r="543" spans="1:8" ht="12.75" customHeight="1" x14ac:dyDescent="0.2">
      <c r="A543" s="482" t="s">
        <v>510</v>
      </c>
      <c r="B543" s="611" t="s">
        <v>652</v>
      </c>
      <c r="C543" s="483"/>
      <c r="D543" s="484">
        <v>34866.400000000001</v>
      </c>
      <c r="E543" s="485">
        <f>D543</f>
        <v>34866.400000000001</v>
      </c>
      <c r="F543" s="485"/>
      <c r="G543" s="453" t="s">
        <v>654</v>
      </c>
    </row>
    <row r="544" spans="1:8" ht="12.75" customHeight="1" x14ac:dyDescent="0.2">
      <c r="A544" s="389"/>
      <c r="B544" s="514" t="s">
        <v>440</v>
      </c>
      <c r="C544" s="486"/>
      <c r="D544" s="487"/>
      <c r="E544" s="518">
        <f>SUM(D544:D588)</f>
        <v>1605768.0200000003</v>
      </c>
      <c r="F544" s="487"/>
    </row>
    <row r="545" spans="1:9" ht="12.75" customHeight="1" x14ac:dyDescent="0.2">
      <c r="A545" s="389"/>
      <c r="B545" s="771" t="s">
        <v>720</v>
      </c>
      <c r="C545" s="770"/>
      <c r="D545" s="717">
        <v>-28891.200000000001</v>
      </c>
      <c r="E545" s="518"/>
      <c r="F545" s="487"/>
      <c r="H545" s="570">
        <v>28891.200000000001</v>
      </c>
      <c r="I545" s="477" t="s">
        <v>844</v>
      </c>
    </row>
    <row r="546" spans="1:9" ht="12.75" customHeight="1" x14ac:dyDescent="0.2">
      <c r="A546" s="389"/>
      <c r="B546" s="516" t="s">
        <v>441</v>
      </c>
      <c r="C546" s="486"/>
      <c r="D546" s="487">
        <v>8394</v>
      </c>
      <c r="E546" s="487"/>
      <c r="F546" s="487"/>
      <c r="G546" s="517" t="s">
        <v>468</v>
      </c>
    </row>
    <row r="547" spans="1:9" ht="12.75" customHeight="1" x14ac:dyDescent="0.2">
      <c r="A547" s="389"/>
      <c r="B547" s="516" t="s">
        <v>442</v>
      </c>
      <c r="C547" s="486"/>
      <c r="D547" s="487">
        <v>179</v>
      </c>
      <c r="E547" s="487"/>
      <c r="F547" s="487"/>
      <c r="G547" s="517" t="s">
        <v>469</v>
      </c>
    </row>
    <row r="548" spans="1:9" ht="12.75" customHeight="1" x14ac:dyDescent="0.2">
      <c r="A548" s="389"/>
      <c r="B548" s="516" t="s">
        <v>500</v>
      </c>
      <c r="C548" s="486"/>
      <c r="D548" s="487">
        <v>6795</v>
      </c>
      <c r="E548" s="487"/>
      <c r="F548" s="487"/>
      <c r="G548" s="517">
        <v>3003</v>
      </c>
    </row>
    <row r="549" spans="1:9" ht="12.75" customHeight="1" x14ac:dyDescent="0.2">
      <c r="A549" s="389"/>
      <c r="B549" s="516" t="s">
        <v>443</v>
      </c>
      <c r="C549" s="486"/>
      <c r="D549" s="487">
        <v>1090.8800000000001</v>
      </c>
      <c r="E549" s="487"/>
      <c r="F549" s="487"/>
      <c r="G549" s="517" t="s">
        <v>470</v>
      </c>
    </row>
    <row r="550" spans="1:9" ht="12.75" customHeight="1" x14ac:dyDescent="0.2">
      <c r="A550" s="389"/>
      <c r="B550" s="516" t="s">
        <v>511</v>
      </c>
      <c r="C550" s="486"/>
      <c r="D550" s="487">
        <v>0</v>
      </c>
      <c r="E550" s="487"/>
      <c r="F550" s="487"/>
      <c r="G550" s="517">
        <v>3014</v>
      </c>
    </row>
    <row r="551" spans="1:9" ht="12.75" customHeight="1" x14ac:dyDescent="0.2">
      <c r="A551" s="389"/>
      <c r="B551" s="516" t="s">
        <v>444</v>
      </c>
      <c r="C551" s="486"/>
      <c r="D551" s="487"/>
      <c r="E551" s="487"/>
      <c r="F551" s="487"/>
      <c r="G551" s="517" t="s">
        <v>471</v>
      </c>
    </row>
    <row r="552" spans="1:9" ht="12.75" customHeight="1" x14ac:dyDescent="0.2">
      <c r="A552" s="389"/>
      <c r="B552" s="516" t="s">
        <v>445</v>
      </c>
      <c r="C552" s="486"/>
      <c r="D552" s="487"/>
      <c r="E552" s="487"/>
      <c r="F552" s="487"/>
      <c r="G552" s="517" t="s">
        <v>472</v>
      </c>
    </row>
    <row r="553" spans="1:9" ht="12.75" customHeight="1" x14ac:dyDescent="0.2">
      <c r="A553" s="389"/>
      <c r="B553" s="525" t="s">
        <v>50</v>
      </c>
      <c r="C553" s="486"/>
      <c r="D553" s="487">
        <v>951002.13</v>
      </c>
      <c r="E553" s="487"/>
      <c r="F553" s="487"/>
      <c r="G553" s="517"/>
    </row>
    <row r="554" spans="1:9" ht="12.75" customHeight="1" x14ac:dyDescent="0.2">
      <c r="A554" s="389"/>
      <c r="B554" s="516" t="s">
        <v>515</v>
      </c>
      <c r="C554" s="486"/>
      <c r="D554" s="487">
        <v>0</v>
      </c>
      <c r="E554" s="487"/>
      <c r="F554" s="487"/>
      <c r="G554" s="517">
        <v>3027</v>
      </c>
    </row>
    <row r="555" spans="1:9" ht="12.75" customHeight="1" x14ac:dyDescent="0.2">
      <c r="A555" s="389"/>
      <c r="B555" s="516" t="s">
        <v>520</v>
      </c>
      <c r="C555" s="486"/>
      <c r="D555" s="487">
        <v>0</v>
      </c>
      <c r="E555" s="487"/>
      <c r="F555" s="487"/>
      <c r="G555" s="517">
        <v>3028</v>
      </c>
    </row>
    <row r="556" spans="1:9" ht="12.75" customHeight="1" x14ac:dyDescent="0.2">
      <c r="A556" s="389"/>
      <c r="B556" s="516" t="s">
        <v>505</v>
      </c>
      <c r="C556" s="486"/>
      <c r="D556" s="487">
        <v>0</v>
      </c>
      <c r="E556" s="487"/>
      <c r="F556" s="487"/>
      <c r="G556" s="517">
        <v>3029</v>
      </c>
    </row>
    <row r="557" spans="1:9" ht="12.75" customHeight="1" x14ac:dyDescent="0.2">
      <c r="A557" s="389"/>
      <c r="B557" s="516" t="s">
        <v>446</v>
      </c>
      <c r="C557" s="486"/>
      <c r="D557" s="487">
        <v>10321.9</v>
      </c>
      <c r="E557" s="487"/>
      <c r="F557" s="487"/>
      <c r="G557" s="517" t="s">
        <v>473</v>
      </c>
    </row>
    <row r="558" spans="1:9" ht="12.75" customHeight="1" x14ac:dyDescent="0.2">
      <c r="A558" s="389"/>
      <c r="B558" s="516" t="s">
        <v>447</v>
      </c>
      <c r="C558" s="486"/>
      <c r="D558" s="487">
        <v>504</v>
      </c>
      <c r="E558" s="487"/>
      <c r="F558" s="487"/>
      <c r="G558" s="517" t="s">
        <v>474</v>
      </c>
    </row>
    <row r="559" spans="1:9" ht="12.75" customHeight="1" x14ac:dyDescent="0.2">
      <c r="A559" s="389"/>
      <c r="B559" s="516" t="s">
        <v>497</v>
      </c>
      <c r="C559" s="486"/>
      <c r="D559" s="487">
        <v>0</v>
      </c>
      <c r="E559" s="487"/>
      <c r="F559" s="487"/>
      <c r="G559" s="517">
        <v>3034</v>
      </c>
    </row>
    <row r="560" spans="1:9" ht="12.75" customHeight="1" x14ac:dyDescent="0.2">
      <c r="A560" s="389"/>
      <c r="B560" s="516" t="s">
        <v>448</v>
      </c>
      <c r="C560" s="486"/>
      <c r="D560" s="487">
        <v>1362.05</v>
      </c>
      <c r="E560" s="487"/>
      <c r="F560" s="487"/>
      <c r="G560" s="517" t="s">
        <v>475</v>
      </c>
    </row>
    <row r="561" spans="1:7" ht="12.75" customHeight="1" x14ac:dyDescent="0.2">
      <c r="A561" s="389"/>
      <c r="B561" s="516" t="s">
        <v>449</v>
      </c>
      <c r="C561" s="486"/>
      <c r="D561" s="487">
        <v>23123.35</v>
      </c>
      <c r="E561" s="487"/>
      <c r="F561" s="487"/>
      <c r="G561" s="517" t="s">
        <v>476</v>
      </c>
    </row>
    <row r="562" spans="1:7" ht="12.75" customHeight="1" x14ac:dyDescent="0.2">
      <c r="A562" s="389"/>
      <c r="B562" s="516" t="s">
        <v>450</v>
      </c>
      <c r="C562" s="486"/>
      <c r="D562" s="487">
        <v>0</v>
      </c>
      <c r="E562" s="487"/>
      <c r="F562" s="487"/>
      <c r="G562" s="517" t="s">
        <v>477</v>
      </c>
    </row>
    <row r="563" spans="1:7" ht="12.75" customHeight="1" x14ac:dyDescent="0.2">
      <c r="A563" s="389"/>
      <c r="B563" s="516" t="s">
        <v>451</v>
      </c>
      <c r="C563" s="486"/>
      <c r="D563" s="487">
        <v>-258.08999999999997</v>
      </c>
      <c r="E563" s="487"/>
      <c r="F563" s="487"/>
      <c r="G563" s="517" t="s">
        <v>478</v>
      </c>
    </row>
    <row r="564" spans="1:7" ht="12.75" customHeight="1" x14ac:dyDescent="0.2">
      <c r="A564" s="389"/>
      <c r="B564" s="516" t="s">
        <v>452</v>
      </c>
      <c r="C564" s="486"/>
      <c r="D564" s="487">
        <v>0</v>
      </c>
      <c r="E564" s="487"/>
      <c r="F564" s="487"/>
      <c r="G564" s="517" t="s">
        <v>479</v>
      </c>
    </row>
    <row r="565" spans="1:7" ht="12.75" customHeight="1" x14ac:dyDescent="0.2">
      <c r="A565" s="389"/>
      <c r="B565" s="516" t="s">
        <v>453</v>
      </c>
      <c r="C565" s="486"/>
      <c r="D565" s="487">
        <v>700.43</v>
      </c>
      <c r="E565" s="487"/>
      <c r="F565" s="487"/>
      <c r="G565" s="517" t="s">
        <v>480</v>
      </c>
    </row>
    <row r="566" spans="1:7" ht="12.75" customHeight="1" x14ac:dyDescent="0.2">
      <c r="A566" s="389"/>
      <c r="B566" s="516" t="s">
        <v>507</v>
      </c>
      <c r="C566" s="486"/>
      <c r="D566" s="487">
        <v>0</v>
      </c>
      <c r="E566" s="487"/>
      <c r="F566" s="487"/>
      <c r="G566" s="517">
        <v>3042</v>
      </c>
    </row>
    <row r="567" spans="1:7" ht="12.75" customHeight="1" x14ac:dyDescent="0.2">
      <c r="A567" s="389"/>
      <c r="B567" s="516" t="s">
        <v>454</v>
      </c>
      <c r="C567" s="486"/>
      <c r="D567" s="487">
        <v>8375.89</v>
      </c>
      <c r="E567" s="487"/>
      <c r="F567" s="487"/>
      <c r="G567" s="517" t="s">
        <v>481</v>
      </c>
    </row>
    <row r="568" spans="1:7" ht="12.75" customHeight="1" x14ac:dyDescent="0.2">
      <c r="A568" s="389"/>
      <c r="B568" s="516" t="s">
        <v>455</v>
      </c>
      <c r="C568" s="486"/>
      <c r="D568" s="487">
        <v>0</v>
      </c>
      <c r="E568" s="487"/>
      <c r="F568" s="487"/>
      <c r="G568" s="517" t="s">
        <v>482</v>
      </c>
    </row>
    <row r="569" spans="1:7" ht="12.75" customHeight="1" x14ac:dyDescent="0.2">
      <c r="A569" s="389"/>
      <c r="B569" s="516" t="s">
        <v>456</v>
      </c>
      <c r="C569" s="486"/>
      <c r="D569" s="487">
        <v>10000</v>
      </c>
      <c r="E569" s="487"/>
      <c r="F569" s="487"/>
      <c r="G569" s="517" t="s">
        <v>483</v>
      </c>
    </row>
    <row r="570" spans="1:7" ht="12.75" customHeight="1" x14ac:dyDescent="0.2">
      <c r="A570" s="389"/>
      <c r="B570" s="516" t="s">
        <v>498</v>
      </c>
      <c r="C570" s="486"/>
      <c r="D570" s="487">
        <v>35503.79</v>
      </c>
      <c r="E570" s="487"/>
      <c r="F570" s="487"/>
      <c r="G570" s="517">
        <v>3048</v>
      </c>
    </row>
    <row r="571" spans="1:7" ht="12.75" customHeight="1" x14ac:dyDescent="0.2">
      <c r="A571" s="389"/>
      <c r="B571" s="516" t="s">
        <v>457</v>
      </c>
      <c r="C571" s="486"/>
      <c r="D571" s="487">
        <v>11022.92</v>
      </c>
      <c r="E571" s="487"/>
      <c r="F571" s="487"/>
      <c r="G571" s="517" t="s">
        <v>484</v>
      </c>
    </row>
    <row r="572" spans="1:7" ht="12.75" customHeight="1" x14ac:dyDescent="0.2">
      <c r="A572" s="389"/>
      <c r="B572" s="516" t="s">
        <v>458</v>
      </c>
      <c r="C572" s="486"/>
      <c r="D572" s="487">
        <v>292.25</v>
      </c>
      <c r="E572" s="487"/>
      <c r="F572" s="487"/>
      <c r="G572" s="517" t="s">
        <v>485</v>
      </c>
    </row>
    <row r="573" spans="1:7" ht="12.75" customHeight="1" x14ac:dyDescent="0.2">
      <c r="A573" s="389"/>
      <c r="B573" s="516" t="s">
        <v>501</v>
      </c>
      <c r="C573" s="486"/>
      <c r="D573" s="487">
        <v>22066.71</v>
      </c>
      <c r="E573" s="487"/>
      <c r="F573" s="487"/>
      <c r="G573" s="517">
        <v>3051</v>
      </c>
    </row>
    <row r="574" spans="1:7" ht="12.75" customHeight="1" x14ac:dyDescent="0.2">
      <c r="A574" s="389"/>
      <c r="B574" s="516" t="s">
        <v>777</v>
      </c>
      <c r="C574" s="486"/>
      <c r="D574" s="734">
        <v>0</v>
      </c>
      <c r="E574" s="734"/>
      <c r="F574" s="734"/>
      <c r="G574" s="517">
        <v>3053</v>
      </c>
    </row>
    <row r="575" spans="1:7" ht="12.75" customHeight="1" x14ac:dyDescent="0.2">
      <c r="A575" s="389"/>
      <c r="B575" s="516" t="s">
        <v>459</v>
      </c>
      <c r="C575" s="486"/>
      <c r="D575" s="487">
        <v>8505.6</v>
      </c>
      <c r="E575" s="487"/>
      <c r="F575" s="487"/>
      <c r="G575" s="517" t="s">
        <v>486</v>
      </c>
    </row>
    <row r="576" spans="1:7" ht="12.75" customHeight="1" x14ac:dyDescent="0.2">
      <c r="A576" s="389"/>
      <c r="B576" s="516" t="s">
        <v>502</v>
      </c>
      <c r="C576" s="486"/>
      <c r="D576" s="487">
        <v>13820.66</v>
      </c>
      <c r="E576" s="487"/>
      <c r="F576" s="487"/>
      <c r="G576" s="517">
        <v>3056</v>
      </c>
    </row>
    <row r="577" spans="1:8" ht="12.75" customHeight="1" x14ac:dyDescent="0.2">
      <c r="A577" s="389"/>
      <c r="B577" s="516" t="s">
        <v>460</v>
      </c>
      <c r="C577" s="486"/>
      <c r="D577" s="487">
        <v>0</v>
      </c>
      <c r="E577" s="487"/>
      <c r="F577" s="487"/>
      <c r="G577" s="517">
        <v>3057</v>
      </c>
    </row>
    <row r="578" spans="1:8" ht="12.75" customHeight="1" x14ac:dyDescent="0.2">
      <c r="A578" s="389"/>
      <c r="B578" s="516" t="s">
        <v>461</v>
      </c>
      <c r="C578" s="486"/>
      <c r="D578" s="487">
        <v>39686.01</v>
      </c>
      <c r="E578" s="487"/>
      <c r="F578" s="487"/>
      <c r="G578" s="517" t="s">
        <v>488</v>
      </c>
    </row>
    <row r="579" spans="1:8" ht="12.75" customHeight="1" x14ac:dyDescent="0.2">
      <c r="A579" s="389"/>
      <c r="B579" s="516" t="s">
        <v>462</v>
      </c>
      <c r="C579" s="486"/>
      <c r="D579" s="487">
        <v>8805.68</v>
      </c>
      <c r="E579" s="487"/>
      <c r="F579" s="487"/>
      <c r="G579" s="517" t="s">
        <v>489</v>
      </c>
    </row>
    <row r="580" spans="1:8" ht="12.75" customHeight="1" x14ac:dyDescent="0.2">
      <c r="A580" s="389"/>
      <c r="B580" s="516" t="s">
        <v>499</v>
      </c>
      <c r="C580" s="486"/>
      <c r="D580" s="487">
        <v>0</v>
      </c>
      <c r="E580" s="487"/>
      <c r="F580" s="487"/>
      <c r="G580" s="517">
        <v>3061</v>
      </c>
    </row>
    <row r="581" spans="1:8" ht="12.75" customHeight="1" x14ac:dyDescent="0.2">
      <c r="A581" s="389"/>
      <c r="B581" s="516" t="s">
        <v>508</v>
      </c>
      <c r="C581" s="486"/>
      <c r="D581" s="487">
        <v>204228.38</v>
      </c>
      <c r="E581" s="487"/>
      <c r="F581" s="487"/>
      <c r="G581" s="517">
        <v>3063</v>
      </c>
    </row>
    <row r="582" spans="1:8" ht="12.75" customHeight="1" x14ac:dyDescent="0.2">
      <c r="A582" s="389"/>
      <c r="B582" s="516" t="s">
        <v>463</v>
      </c>
      <c r="C582" s="486"/>
      <c r="D582" s="487">
        <v>0</v>
      </c>
      <c r="E582" s="487"/>
      <c r="F582" s="487"/>
      <c r="G582" s="517" t="s">
        <v>490</v>
      </c>
    </row>
    <row r="583" spans="1:8" ht="12.75" customHeight="1" x14ac:dyDescent="0.2">
      <c r="A583" s="389"/>
      <c r="B583" s="516" t="s">
        <v>512</v>
      </c>
      <c r="C583" s="486"/>
      <c r="D583" s="487">
        <v>3923</v>
      </c>
      <c r="E583" s="487"/>
      <c r="F583" s="487"/>
      <c r="G583" s="517">
        <v>3065</v>
      </c>
    </row>
    <row r="584" spans="1:8" ht="12.75" customHeight="1" x14ac:dyDescent="0.2">
      <c r="A584" s="389"/>
      <c r="B584" s="516" t="s">
        <v>464</v>
      </c>
      <c r="C584" s="486"/>
      <c r="D584" s="487">
        <v>95</v>
      </c>
      <c r="E584" s="487"/>
      <c r="F584" s="487"/>
      <c r="G584" s="517">
        <v>3066</v>
      </c>
    </row>
    <row r="585" spans="1:8" ht="12.75" customHeight="1" x14ac:dyDescent="0.2">
      <c r="A585" s="389"/>
      <c r="B585" s="516" t="s">
        <v>465</v>
      </c>
      <c r="C585" s="486"/>
      <c r="D585" s="487">
        <v>263994.98</v>
      </c>
      <c r="E585" s="487"/>
      <c r="F585" s="487"/>
      <c r="G585" s="517" t="s">
        <v>492</v>
      </c>
      <c r="H585" s="489"/>
    </row>
    <row r="586" spans="1:8" ht="12.75" customHeight="1" x14ac:dyDescent="0.2">
      <c r="A586" s="389"/>
      <c r="B586" s="516" t="s">
        <v>466</v>
      </c>
      <c r="C586" s="486"/>
      <c r="D586" s="487">
        <v>0</v>
      </c>
      <c r="E586" s="487"/>
      <c r="F586" s="487"/>
      <c r="G586" s="517">
        <v>3068</v>
      </c>
      <c r="H586" s="489"/>
    </row>
    <row r="587" spans="1:8" ht="12.75" customHeight="1" x14ac:dyDescent="0.2">
      <c r="A587" s="389"/>
      <c r="B587" s="516" t="s">
        <v>467</v>
      </c>
      <c r="C587" s="486"/>
      <c r="D587" s="487">
        <v>1123.7</v>
      </c>
      <c r="E587" s="487"/>
      <c r="F587" s="487"/>
      <c r="G587" s="517">
        <v>3069</v>
      </c>
      <c r="H587" s="489"/>
    </row>
    <row r="588" spans="1:8" ht="12.75" customHeight="1" x14ac:dyDescent="0.2">
      <c r="A588" s="389"/>
      <c r="B588" s="516" t="s">
        <v>503</v>
      </c>
      <c r="C588" s="486"/>
      <c r="D588" s="487">
        <v>0</v>
      </c>
      <c r="E588" s="487"/>
      <c r="F588" s="487"/>
      <c r="G588" s="517">
        <v>3073</v>
      </c>
    </row>
    <row r="589" spans="1:8" ht="12.75" customHeight="1" x14ac:dyDescent="0.2">
      <c r="A589" s="389"/>
      <c r="B589" s="519" t="s">
        <v>248</v>
      </c>
      <c r="D589" s="487">
        <v>350099.32</v>
      </c>
      <c r="E589" s="518">
        <f>SUM(D589)</f>
        <v>350099.32</v>
      </c>
      <c r="F589" s="487"/>
      <c r="G589" s="477">
        <v>3001</v>
      </c>
      <c r="H589" s="489" t="s">
        <v>845</v>
      </c>
    </row>
    <row r="590" spans="1:8" ht="12.75" customHeight="1" x14ac:dyDescent="0.2">
      <c r="A590" s="389"/>
      <c r="B590" s="520" t="s">
        <v>345</v>
      </c>
      <c r="C590" s="491"/>
      <c r="D590" s="487"/>
      <c r="E590" s="518">
        <f>SUM(D591:D596)</f>
        <v>1788426.85</v>
      </c>
      <c r="F590" s="487"/>
    </row>
    <row r="591" spans="1:8" ht="12.75" customHeight="1" x14ac:dyDescent="0.2">
      <c r="A591" s="389"/>
      <c r="B591" s="488"/>
      <c r="C591" s="490" t="s">
        <v>249</v>
      </c>
      <c r="D591" s="487">
        <v>48791.49</v>
      </c>
      <c r="E591" s="487"/>
      <c r="F591" s="487"/>
      <c r="G591" s="477">
        <v>4000</v>
      </c>
    </row>
    <row r="592" spans="1:8" ht="12.75" customHeight="1" x14ac:dyDescent="0.2">
      <c r="A592" s="389"/>
      <c r="B592" s="488"/>
      <c r="C592" s="490" t="s">
        <v>250</v>
      </c>
      <c r="D592" s="487">
        <v>20561.11</v>
      </c>
      <c r="E592" s="487"/>
      <c r="F592" s="487"/>
      <c r="G592" s="477">
        <v>4001</v>
      </c>
    </row>
    <row r="593" spans="1:8" ht="12.75" customHeight="1" x14ac:dyDescent="0.2">
      <c r="A593" s="389"/>
      <c r="B593" s="488"/>
      <c r="C593" s="490" t="s">
        <v>251</v>
      </c>
      <c r="D593" s="487">
        <v>1475032.62</v>
      </c>
      <c r="E593" s="487"/>
      <c r="F593" s="487"/>
    </row>
    <row r="594" spans="1:8" ht="12.75" customHeight="1" x14ac:dyDescent="0.2">
      <c r="A594" s="389"/>
      <c r="B594" s="488"/>
      <c r="C594" s="490" t="s">
        <v>252</v>
      </c>
      <c r="D594" s="487">
        <v>5052</v>
      </c>
      <c r="E594" s="487"/>
      <c r="F594" s="487"/>
    </row>
    <row r="595" spans="1:8" ht="12.75" customHeight="1" x14ac:dyDescent="0.2">
      <c r="A595" s="389"/>
      <c r="B595" s="488"/>
      <c r="C595" s="491" t="s">
        <v>253</v>
      </c>
      <c r="D595" s="487">
        <v>58337.46</v>
      </c>
      <c r="E595" s="487"/>
      <c r="F595" s="487"/>
    </row>
    <row r="596" spans="1:8" ht="12.75" customHeight="1" x14ac:dyDescent="0.2">
      <c r="A596" s="389"/>
      <c r="B596" s="488"/>
      <c r="C596" s="491" t="s">
        <v>114</v>
      </c>
      <c r="D596" s="487">
        <v>180652.17</v>
      </c>
      <c r="E596" s="487"/>
      <c r="F596" s="487"/>
      <c r="G596" s="477">
        <v>4005</v>
      </c>
    </row>
    <row r="597" spans="1:8" ht="12.75" customHeight="1" x14ac:dyDescent="0.2">
      <c r="A597" s="492"/>
      <c r="B597" s="520" t="s">
        <v>770</v>
      </c>
      <c r="C597" s="491"/>
      <c r="D597" s="487">
        <f>9455.54*0</f>
        <v>0</v>
      </c>
      <c r="E597" s="518">
        <f>D597</f>
        <v>0</v>
      </c>
      <c r="F597" s="495"/>
    </row>
    <row r="598" spans="1:8" ht="12.75" customHeight="1" x14ac:dyDescent="0.2">
      <c r="A598" s="492"/>
      <c r="B598" s="522" t="s">
        <v>255</v>
      </c>
      <c r="D598" s="487"/>
      <c r="E598" s="521">
        <f>D598</f>
        <v>0</v>
      </c>
      <c r="F598" s="495"/>
      <c r="G598" s="477">
        <v>5000</v>
      </c>
    </row>
    <row r="599" spans="1:8" ht="12.75" customHeight="1" thickBot="1" x14ac:dyDescent="0.25">
      <c r="A599" s="496"/>
      <c r="B599" s="497"/>
      <c r="C599" s="498"/>
      <c r="D599" s="499"/>
      <c r="E599" s="500"/>
      <c r="F599" s="889">
        <f>SUM(E543:E598)</f>
        <v>3779160.5900000003</v>
      </c>
      <c r="H599" s="501">
        <f>'Sched-B1'!B14+'Sched-B2'!E190+'Sched-D1'!F599-18881695.47-951002.13+28891.2</f>
        <v>3.4233380574733019E-9</v>
      </c>
    </row>
    <row r="600" spans="1:8" ht="12.75" customHeight="1" x14ac:dyDescent="0.2">
      <c r="A600" s="482" t="s">
        <v>72</v>
      </c>
      <c r="B600" s="611" t="s">
        <v>652</v>
      </c>
      <c r="C600" s="483"/>
      <c r="D600" s="484">
        <f>29958.98+5000+4.88</f>
        <v>34963.859999999993</v>
      </c>
      <c r="E600" s="485">
        <f>D600</f>
        <v>34963.859999999993</v>
      </c>
      <c r="F600" s="485"/>
    </row>
    <row r="601" spans="1:8" ht="12.75" customHeight="1" x14ac:dyDescent="0.2">
      <c r="A601" s="389"/>
      <c r="B601" s="514" t="s">
        <v>440</v>
      </c>
      <c r="C601" s="486"/>
      <c r="D601" s="487"/>
      <c r="E601" s="518">
        <f>SUM(D601:D639)</f>
        <v>920555.42999999993</v>
      </c>
      <c r="F601" s="487"/>
      <c r="H601" s="489"/>
    </row>
    <row r="602" spans="1:8" ht="12.75" customHeight="1" x14ac:dyDescent="0.2">
      <c r="A602" s="389"/>
      <c r="B602" s="527" t="s">
        <v>219</v>
      </c>
      <c r="C602" s="430"/>
      <c r="D602" s="716">
        <f>0-53896.15</f>
        <v>-53896.15</v>
      </c>
      <c r="E602" s="487"/>
      <c r="F602" s="487"/>
      <c r="H602" s="477" t="s">
        <v>846</v>
      </c>
    </row>
    <row r="603" spans="1:8" ht="12.75" customHeight="1" x14ac:dyDescent="0.2">
      <c r="A603" s="389"/>
      <c r="B603" s="516" t="s">
        <v>441</v>
      </c>
      <c r="C603" s="486"/>
      <c r="D603" s="487">
        <v>1140</v>
      </c>
      <c r="E603" s="487"/>
      <c r="F603" s="487"/>
      <c r="G603" s="517" t="s">
        <v>468</v>
      </c>
      <c r="H603" s="489"/>
    </row>
    <row r="604" spans="1:8" ht="12.75" customHeight="1" x14ac:dyDescent="0.2">
      <c r="A604" s="389"/>
      <c r="B604" s="516" t="s">
        <v>442</v>
      </c>
      <c r="C604" s="486"/>
      <c r="D604" s="487">
        <v>750</v>
      </c>
      <c r="E604" s="487"/>
      <c r="F604" s="487"/>
      <c r="G604" s="517" t="s">
        <v>469</v>
      </c>
    </row>
    <row r="605" spans="1:8" ht="12.75" customHeight="1" x14ac:dyDescent="0.2">
      <c r="A605" s="389"/>
      <c r="B605" s="516" t="s">
        <v>443</v>
      </c>
      <c r="C605" s="486"/>
      <c r="D605" s="487">
        <v>810.94</v>
      </c>
      <c r="E605" s="487"/>
      <c r="F605" s="487"/>
      <c r="G605" s="517" t="s">
        <v>470</v>
      </c>
    </row>
    <row r="606" spans="1:8" ht="12.75" customHeight="1" x14ac:dyDescent="0.2">
      <c r="A606" s="389"/>
      <c r="B606" s="516" t="s">
        <v>511</v>
      </c>
      <c r="C606" s="486"/>
      <c r="D606" s="487">
        <v>0</v>
      </c>
      <c r="E606" s="487"/>
      <c r="F606" s="487"/>
      <c r="G606" s="517">
        <v>3014</v>
      </c>
    </row>
    <row r="607" spans="1:8" ht="12.75" customHeight="1" x14ac:dyDescent="0.2">
      <c r="A607" s="389"/>
      <c r="B607" s="516" t="s">
        <v>444</v>
      </c>
      <c r="C607" s="486"/>
      <c r="D607" s="487">
        <v>0</v>
      </c>
      <c r="E607" s="487"/>
      <c r="F607" s="487"/>
      <c r="G607" s="517" t="s">
        <v>471</v>
      </c>
    </row>
    <row r="608" spans="1:8" ht="12.75" customHeight="1" x14ac:dyDescent="0.2">
      <c r="A608" s="389"/>
      <c r="B608" s="516" t="s">
        <v>445</v>
      </c>
      <c r="C608" s="486"/>
      <c r="D608" s="487">
        <v>0</v>
      </c>
      <c r="E608" s="487"/>
      <c r="F608" s="487"/>
      <c r="G608" s="517" t="s">
        <v>472</v>
      </c>
    </row>
    <row r="609" spans="1:7" ht="12.75" customHeight="1" x14ac:dyDescent="0.2">
      <c r="A609" s="389"/>
      <c r="B609" s="516" t="s">
        <v>520</v>
      </c>
      <c r="C609" s="486"/>
      <c r="D609" s="487">
        <v>0</v>
      </c>
      <c r="E609" s="487"/>
      <c r="F609" s="487"/>
      <c r="G609" s="517">
        <v>3028</v>
      </c>
    </row>
    <row r="610" spans="1:7" ht="12.75" customHeight="1" x14ac:dyDescent="0.2">
      <c r="A610" s="389"/>
      <c r="B610" s="525" t="s">
        <v>50</v>
      </c>
      <c r="C610" s="486"/>
      <c r="D610" s="487">
        <v>569166.81000000006</v>
      </c>
      <c r="E610" s="487"/>
      <c r="F610" s="487"/>
      <c r="G610" s="517"/>
    </row>
    <row r="611" spans="1:7" ht="12.75" customHeight="1" x14ac:dyDescent="0.2">
      <c r="A611" s="389"/>
      <c r="B611" s="516" t="s">
        <v>505</v>
      </c>
      <c r="C611" s="486"/>
      <c r="D611" s="487">
        <v>0</v>
      </c>
      <c r="E611" s="487"/>
      <c r="F611" s="487"/>
      <c r="G611" s="517">
        <v>3031</v>
      </c>
    </row>
    <row r="612" spans="1:7" ht="12.75" customHeight="1" x14ac:dyDescent="0.2">
      <c r="A612" s="389"/>
      <c r="B612" s="516" t="s">
        <v>446</v>
      </c>
      <c r="C612" s="486"/>
      <c r="D612" s="487">
        <v>917.79</v>
      </c>
      <c r="E612" s="487"/>
      <c r="F612" s="487"/>
      <c r="G612" s="517" t="s">
        <v>473</v>
      </c>
    </row>
    <row r="613" spans="1:7" ht="12.75" customHeight="1" x14ac:dyDescent="0.2">
      <c r="A613" s="389"/>
      <c r="B613" s="516" t="s">
        <v>447</v>
      </c>
      <c r="C613" s="486"/>
      <c r="D613" s="487">
        <v>504</v>
      </c>
      <c r="E613" s="487"/>
      <c r="F613" s="487"/>
      <c r="G613" s="517" t="s">
        <v>474</v>
      </c>
    </row>
    <row r="614" spans="1:7" ht="12.75" customHeight="1" x14ac:dyDescent="0.2">
      <c r="A614" s="389"/>
      <c r="B614" s="516" t="s">
        <v>497</v>
      </c>
      <c r="C614" s="486"/>
      <c r="D614" s="487">
        <v>1287.92</v>
      </c>
      <c r="E614" s="487"/>
      <c r="F614" s="487"/>
      <c r="G614" s="517">
        <v>3034</v>
      </c>
    </row>
    <row r="615" spans="1:7" ht="12.75" customHeight="1" x14ac:dyDescent="0.2">
      <c r="A615" s="389"/>
      <c r="B615" s="516" t="s">
        <v>448</v>
      </c>
      <c r="C615" s="486"/>
      <c r="D615" s="487">
        <v>2173.79</v>
      </c>
      <c r="E615" s="487"/>
      <c r="F615" s="487"/>
      <c r="G615" s="517" t="s">
        <v>475</v>
      </c>
    </row>
    <row r="616" spans="1:7" ht="12.75" customHeight="1" x14ac:dyDescent="0.2">
      <c r="A616" s="389"/>
      <c r="B616" s="516" t="s">
        <v>449</v>
      </c>
      <c r="C616" s="486"/>
      <c r="D616" s="487">
        <v>11240.53</v>
      </c>
      <c r="E616" s="487"/>
      <c r="F616" s="487"/>
      <c r="G616" s="517" t="s">
        <v>476</v>
      </c>
    </row>
    <row r="617" spans="1:7" ht="12.75" customHeight="1" x14ac:dyDescent="0.2">
      <c r="A617" s="389"/>
      <c r="B617" s="516" t="s">
        <v>450</v>
      </c>
      <c r="C617" s="486"/>
      <c r="D617" s="487">
        <v>0</v>
      </c>
      <c r="E617" s="487"/>
      <c r="F617" s="487"/>
      <c r="G617" s="517" t="s">
        <v>477</v>
      </c>
    </row>
    <row r="618" spans="1:7" ht="12.75" customHeight="1" x14ac:dyDescent="0.2">
      <c r="A618" s="389"/>
      <c r="B618" s="516" t="s">
        <v>451</v>
      </c>
      <c r="C618" s="486"/>
      <c r="D618" s="487">
        <v>780</v>
      </c>
      <c r="E618" s="487"/>
      <c r="F618" s="487"/>
      <c r="G618" s="517" t="s">
        <v>478</v>
      </c>
    </row>
    <row r="619" spans="1:7" ht="12.75" customHeight="1" x14ac:dyDescent="0.2">
      <c r="A619" s="389"/>
      <c r="B619" s="516" t="s">
        <v>452</v>
      </c>
      <c r="C619" s="486"/>
      <c r="D619" s="487">
        <v>0</v>
      </c>
      <c r="E619" s="487"/>
      <c r="F619" s="487"/>
      <c r="G619" s="517" t="s">
        <v>479</v>
      </c>
    </row>
    <row r="620" spans="1:7" ht="12.75" customHeight="1" x14ac:dyDescent="0.2">
      <c r="A620" s="389"/>
      <c r="B620" s="516" t="s">
        <v>453</v>
      </c>
      <c r="C620" s="486"/>
      <c r="D620" s="487">
        <v>0</v>
      </c>
      <c r="E620" s="487"/>
      <c r="F620" s="487"/>
      <c r="G620" s="517" t="s">
        <v>480</v>
      </c>
    </row>
    <row r="621" spans="1:7" ht="12.75" customHeight="1" x14ac:dyDescent="0.2">
      <c r="A621" s="389"/>
      <c r="B621" s="516" t="s">
        <v>454</v>
      </c>
      <c r="C621" s="486"/>
      <c r="D621" s="487">
        <v>190421.49</v>
      </c>
      <c r="E621" s="487"/>
      <c r="F621" s="487"/>
      <c r="G621" s="517" t="s">
        <v>481</v>
      </c>
    </row>
    <row r="622" spans="1:7" ht="12.75" customHeight="1" x14ac:dyDescent="0.2">
      <c r="A622" s="389"/>
      <c r="B622" s="516" t="s">
        <v>455</v>
      </c>
      <c r="C622" s="486"/>
      <c r="D622" s="487">
        <v>0</v>
      </c>
      <c r="E622" s="487"/>
      <c r="F622" s="487"/>
      <c r="G622" s="517" t="s">
        <v>482</v>
      </c>
    </row>
    <row r="623" spans="1:7" ht="12.75" customHeight="1" x14ac:dyDescent="0.2">
      <c r="A623" s="389"/>
      <c r="B623" s="516" t="s">
        <v>456</v>
      </c>
      <c r="C623" s="486"/>
      <c r="D623" s="487">
        <v>6659.78</v>
      </c>
      <c r="E623" s="487"/>
      <c r="F623" s="487"/>
      <c r="G623" s="517" t="s">
        <v>483</v>
      </c>
    </row>
    <row r="624" spans="1:7" ht="12.75" customHeight="1" x14ac:dyDescent="0.2">
      <c r="A624" s="389"/>
      <c r="B624" s="516" t="s">
        <v>498</v>
      </c>
      <c r="C624" s="486"/>
      <c r="D624" s="487">
        <v>39870.239999999998</v>
      </c>
      <c r="E624" s="487"/>
      <c r="F624" s="487"/>
      <c r="G624" s="517">
        <v>3048</v>
      </c>
    </row>
    <row r="625" spans="1:8" ht="12.75" customHeight="1" x14ac:dyDescent="0.2">
      <c r="A625" s="389"/>
      <c r="B625" s="516" t="s">
        <v>457</v>
      </c>
      <c r="C625" s="486"/>
      <c r="D625" s="487">
        <v>2598.38</v>
      </c>
      <c r="E625" s="487"/>
      <c r="F625" s="487"/>
      <c r="G625" s="517" t="s">
        <v>484</v>
      </c>
    </row>
    <row r="626" spans="1:8" ht="12.75" customHeight="1" x14ac:dyDescent="0.2">
      <c r="A626" s="389"/>
      <c r="B626" s="516" t="s">
        <v>458</v>
      </c>
      <c r="C626" s="486"/>
      <c r="D626" s="487">
        <v>1926</v>
      </c>
      <c r="E626" s="487"/>
      <c r="F626" s="487"/>
      <c r="G626" s="517" t="s">
        <v>485</v>
      </c>
    </row>
    <row r="627" spans="1:8" ht="12.75" customHeight="1" x14ac:dyDescent="0.2">
      <c r="A627" s="389"/>
      <c r="B627" s="516" t="s">
        <v>517</v>
      </c>
      <c r="C627" s="486"/>
      <c r="D627" s="487">
        <v>0</v>
      </c>
      <c r="E627" s="487"/>
      <c r="F627" s="487"/>
      <c r="G627" s="517">
        <v>3052</v>
      </c>
    </row>
    <row r="628" spans="1:8" ht="12.75" customHeight="1" x14ac:dyDescent="0.2">
      <c r="A628" s="389"/>
      <c r="B628" s="516" t="s">
        <v>459</v>
      </c>
      <c r="C628" s="486"/>
      <c r="D628" s="487">
        <v>24700</v>
      </c>
      <c r="E628" s="487"/>
      <c r="F628" s="487"/>
      <c r="G628" s="517" t="s">
        <v>486</v>
      </c>
    </row>
    <row r="629" spans="1:8" ht="12.75" customHeight="1" x14ac:dyDescent="0.2">
      <c r="A629" s="389"/>
      <c r="B629" s="516" t="s">
        <v>502</v>
      </c>
      <c r="C629" s="486"/>
      <c r="D629" s="487">
        <v>9970</v>
      </c>
      <c r="E629" s="487"/>
      <c r="F629" s="487"/>
      <c r="G629" s="517">
        <v>3056</v>
      </c>
    </row>
    <row r="630" spans="1:8" ht="12.75" customHeight="1" x14ac:dyDescent="0.2">
      <c r="A630" s="389"/>
      <c r="B630" s="516" t="s">
        <v>460</v>
      </c>
      <c r="C630" s="486"/>
      <c r="D630" s="487">
        <v>0</v>
      </c>
      <c r="E630" s="487"/>
      <c r="F630" s="487"/>
      <c r="G630" s="517" t="s">
        <v>487</v>
      </c>
    </row>
    <row r="631" spans="1:8" ht="12.75" customHeight="1" x14ac:dyDescent="0.2">
      <c r="A631" s="389"/>
      <c r="B631" s="516" t="s">
        <v>461</v>
      </c>
      <c r="C631" s="486"/>
      <c r="D631" s="487">
        <v>45214.99</v>
      </c>
      <c r="E631" s="487"/>
      <c r="F631" s="487"/>
      <c r="G631" s="517" t="s">
        <v>488</v>
      </c>
    </row>
    <row r="632" spans="1:8" ht="12.75" customHeight="1" x14ac:dyDescent="0.2">
      <c r="A632" s="389"/>
      <c r="B632" s="516" t="s">
        <v>462</v>
      </c>
      <c r="C632" s="486"/>
      <c r="D632" s="487">
        <v>4427.1499999999996</v>
      </c>
      <c r="E632" s="487"/>
      <c r="F632" s="487"/>
      <c r="G632" s="517" t="s">
        <v>489</v>
      </c>
    </row>
    <row r="633" spans="1:8" ht="12.75" customHeight="1" x14ac:dyDescent="0.2">
      <c r="A633" s="389"/>
      <c r="B633" s="516" t="s">
        <v>499</v>
      </c>
      <c r="C633" s="486"/>
      <c r="D633" s="487">
        <v>0</v>
      </c>
      <c r="E633" s="487"/>
      <c r="F633" s="487"/>
      <c r="G633" s="517">
        <v>3061</v>
      </c>
    </row>
    <row r="634" spans="1:8" ht="12.75" customHeight="1" x14ac:dyDescent="0.2">
      <c r="A634" s="389"/>
      <c r="B634" s="516" t="s">
        <v>512</v>
      </c>
      <c r="C634" s="486"/>
      <c r="D634" s="487">
        <v>0</v>
      </c>
      <c r="E634" s="487"/>
      <c r="F634" s="487"/>
      <c r="G634" s="517">
        <v>3065</v>
      </c>
    </row>
    <row r="635" spans="1:8" ht="12.75" customHeight="1" x14ac:dyDescent="0.2">
      <c r="A635" s="389"/>
      <c r="B635" s="516" t="s">
        <v>463</v>
      </c>
      <c r="C635" s="486"/>
      <c r="D635" s="487">
        <v>0</v>
      </c>
      <c r="E635" s="487"/>
      <c r="F635" s="487"/>
      <c r="G635" s="517" t="s">
        <v>490</v>
      </c>
    </row>
    <row r="636" spans="1:8" ht="12.75" customHeight="1" x14ac:dyDescent="0.2">
      <c r="A636" s="389"/>
      <c r="B636" s="516" t="s">
        <v>464</v>
      </c>
      <c r="C636" s="486"/>
      <c r="D636" s="487">
        <v>531</v>
      </c>
      <c r="E636" s="487"/>
      <c r="F636" s="487"/>
      <c r="G636" s="517" t="s">
        <v>491</v>
      </c>
    </row>
    <row r="637" spans="1:8" ht="12.75" customHeight="1" x14ac:dyDescent="0.2">
      <c r="A637" s="389"/>
      <c r="B637" s="516" t="s">
        <v>465</v>
      </c>
      <c r="C637" s="486"/>
      <c r="D637" s="487">
        <v>59146.07</v>
      </c>
      <c r="E637" s="487"/>
      <c r="F637" s="487"/>
      <c r="G637" s="517" t="s">
        <v>492</v>
      </c>
      <c r="H637" s="489"/>
    </row>
    <row r="638" spans="1:8" ht="12.75" customHeight="1" x14ac:dyDescent="0.2">
      <c r="A638" s="389"/>
      <c r="B638" s="516" t="s">
        <v>466</v>
      </c>
      <c r="C638" s="486"/>
      <c r="D638" s="487">
        <v>0</v>
      </c>
      <c r="E638" s="487"/>
      <c r="F638" s="487"/>
      <c r="G638" s="517" t="s">
        <v>493</v>
      </c>
    </row>
    <row r="639" spans="1:8" ht="12.75" customHeight="1" x14ac:dyDescent="0.2">
      <c r="A639" s="389"/>
      <c r="B639" s="516" t="s">
        <v>467</v>
      </c>
      <c r="C639" s="486"/>
      <c r="D639" s="487">
        <v>214.7</v>
      </c>
      <c r="E639" s="487"/>
      <c r="F639" s="487"/>
      <c r="G639" s="517" t="s">
        <v>494</v>
      </c>
      <c r="H639" s="489"/>
    </row>
    <row r="640" spans="1:8" ht="12.75" customHeight="1" x14ac:dyDescent="0.2">
      <c r="A640" s="389"/>
      <c r="B640" s="519" t="s">
        <v>248</v>
      </c>
      <c r="C640" s="490"/>
      <c r="D640" s="487">
        <v>161200.14000000001</v>
      </c>
      <c r="E640" s="518">
        <f>SUM(D640)</f>
        <v>161200.14000000001</v>
      </c>
      <c r="F640" s="487"/>
      <c r="G640" s="517">
        <v>3001</v>
      </c>
      <c r="H640" s="489"/>
    </row>
    <row r="641" spans="1:8" ht="12.75" customHeight="1" x14ac:dyDescent="0.2">
      <c r="A641" s="389"/>
      <c r="B641" s="520" t="s">
        <v>345</v>
      </c>
      <c r="C641" s="491"/>
      <c r="D641" s="487"/>
      <c r="E641" s="518">
        <f>SUM(D642:D647)</f>
        <v>973871.55</v>
      </c>
      <c r="F641" s="487"/>
      <c r="H641" s="489"/>
    </row>
    <row r="642" spans="1:8" ht="12.75" customHeight="1" x14ac:dyDescent="0.2">
      <c r="A642" s="389"/>
      <c r="B642" s="488"/>
      <c r="C642" s="490" t="s">
        <v>249</v>
      </c>
      <c r="D642" s="487">
        <v>76699.42</v>
      </c>
      <c r="E642" s="487"/>
      <c r="F642" s="487"/>
      <c r="H642" s="489"/>
    </row>
    <row r="643" spans="1:8" ht="12.75" customHeight="1" x14ac:dyDescent="0.2">
      <c r="A643" s="389"/>
      <c r="B643" s="488"/>
      <c r="C643" s="490" t="s">
        <v>250</v>
      </c>
      <c r="D643" s="487">
        <v>0</v>
      </c>
      <c r="E643" s="487"/>
      <c r="F643" s="487"/>
    </row>
    <row r="644" spans="1:8" ht="12.75" customHeight="1" x14ac:dyDescent="0.2">
      <c r="A644" s="389"/>
      <c r="B644" s="488"/>
      <c r="C644" s="490" t="s">
        <v>251</v>
      </c>
      <c r="D644" s="487">
        <v>810248.9</v>
      </c>
      <c r="E644" s="487"/>
      <c r="F644" s="487"/>
    </row>
    <row r="645" spans="1:8" ht="12.75" customHeight="1" x14ac:dyDescent="0.2">
      <c r="A645" s="389"/>
      <c r="B645" s="488"/>
      <c r="C645" s="490" t="s">
        <v>252</v>
      </c>
      <c r="D645" s="487">
        <v>885.5</v>
      </c>
      <c r="E645" s="487"/>
      <c r="F645" s="487"/>
    </row>
    <row r="646" spans="1:8" ht="12.75" customHeight="1" x14ac:dyDescent="0.2">
      <c r="A646" s="502"/>
      <c r="B646" s="488"/>
      <c r="C646" s="491" t="s">
        <v>253</v>
      </c>
      <c r="D646" s="487">
        <v>38740.57</v>
      </c>
      <c r="E646" s="487"/>
      <c r="F646" s="487"/>
    </row>
    <row r="647" spans="1:8" ht="12.75" customHeight="1" x14ac:dyDescent="0.2">
      <c r="A647" s="389"/>
      <c r="B647" s="488"/>
      <c r="C647" s="491" t="s">
        <v>114</v>
      </c>
      <c r="D647" s="487">
        <v>47297.16</v>
      </c>
      <c r="E647" s="487"/>
      <c r="F647" s="487"/>
      <c r="G647" s="477">
        <v>4005</v>
      </c>
    </row>
    <row r="648" spans="1:8" ht="12.75" customHeight="1" x14ac:dyDescent="0.2">
      <c r="A648" s="389"/>
      <c r="B648" s="520" t="s">
        <v>651</v>
      </c>
      <c r="C648" s="491"/>
      <c r="D648" s="487">
        <v>0</v>
      </c>
      <c r="E648" s="518">
        <f>D648</f>
        <v>0</v>
      </c>
      <c r="F648" s="487"/>
    </row>
    <row r="649" spans="1:8" ht="12.75" customHeight="1" x14ac:dyDescent="0.2">
      <c r="A649" s="389"/>
      <c r="B649" s="522" t="s">
        <v>255</v>
      </c>
      <c r="D649" s="487">
        <v>0</v>
      </c>
      <c r="E649" s="521">
        <f>D649</f>
        <v>0</v>
      </c>
      <c r="F649" s="487"/>
      <c r="G649" s="477">
        <v>5002</v>
      </c>
      <c r="H649" s="489"/>
    </row>
    <row r="650" spans="1:8" ht="12.75" customHeight="1" thickBot="1" x14ac:dyDescent="0.25">
      <c r="A650" s="496"/>
      <c r="B650" s="497"/>
      <c r="C650" s="498"/>
      <c r="D650" s="503"/>
      <c r="E650" s="500"/>
      <c r="F650" s="890">
        <f>SUM(E600:E650)</f>
        <v>2090590.98</v>
      </c>
      <c r="H650" s="501">
        <f>'Sched-B1'!B15+'Sched-B2'!E207+'Sched-D1'!F650-11191774.46-569166.81+53896.15</f>
        <v>9.4587448984384537E-11</v>
      </c>
    </row>
    <row r="651" spans="1:8" ht="12.75" customHeight="1" x14ac:dyDescent="0.2">
      <c r="A651" s="482" t="s">
        <v>516</v>
      </c>
      <c r="B651" s="611" t="s">
        <v>652</v>
      </c>
      <c r="C651" s="483"/>
      <c r="D651" s="484">
        <v>0</v>
      </c>
      <c r="E651" s="485">
        <f>D651</f>
        <v>0</v>
      </c>
      <c r="F651" s="485"/>
      <c r="G651" s="477">
        <v>2000</v>
      </c>
    </row>
    <row r="652" spans="1:8" ht="12.75" customHeight="1" x14ac:dyDescent="0.2">
      <c r="A652" s="389"/>
      <c r="B652" s="514" t="s">
        <v>440</v>
      </c>
      <c r="C652" s="486"/>
      <c r="D652" s="487"/>
      <c r="E652" s="518">
        <f>SUM(D652:D696)</f>
        <v>663153.96</v>
      </c>
      <c r="F652" s="487"/>
    </row>
    <row r="653" spans="1:8" ht="12.75" customHeight="1" x14ac:dyDescent="0.2">
      <c r="A653" s="389"/>
      <c r="B653" s="516" t="s">
        <v>441</v>
      </c>
      <c r="C653" s="486"/>
      <c r="D653" s="487">
        <v>665</v>
      </c>
      <c r="E653" s="487"/>
      <c r="F653" s="487"/>
      <c r="G653" s="517" t="s">
        <v>468</v>
      </c>
    </row>
    <row r="654" spans="1:8" ht="12.75" customHeight="1" x14ac:dyDescent="0.2">
      <c r="A654" s="389"/>
      <c r="B654" s="516" t="s">
        <v>442</v>
      </c>
      <c r="C654" s="486"/>
      <c r="D654" s="487">
        <v>0</v>
      </c>
      <c r="E654" s="487"/>
      <c r="F654" s="487"/>
      <c r="G654" s="517" t="s">
        <v>469</v>
      </c>
    </row>
    <row r="655" spans="1:8" ht="12.75" customHeight="1" x14ac:dyDescent="0.2">
      <c r="A655" s="389"/>
      <c r="B655" s="516" t="s">
        <v>500</v>
      </c>
      <c r="C655" s="486"/>
      <c r="D655" s="487">
        <v>0</v>
      </c>
      <c r="E655" s="487"/>
      <c r="F655" s="487"/>
      <c r="G655" s="517">
        <v>3003</v>
      </c>
    </row>
    <row r="656" spans="1:8" ht="12.75" customHeight="1" x14ac:dyDescent="0.2">
      <c r="A656" s="389"/>
      <c r="B656" s="516" t="s">
        <v>772</v>
      </c>
      <c r="C656" s="486"/>
      <c r="D656" s="487">
        <v>1000</v>
      </c>
      <c r="E656" s="487"/>
      <c r="F656" s="487"/>
      <c r="G656" s="517">
        <v>3005</v>
      </c>
    </row>
    <row r="657" spans="1:7" ht="12.75" customHeight="1" x14ac:dyDescent="0.2">
      <c r="A657" s="389"/>
      <c r="B657" s="516" t="s">
        <v>443</v>
      </c>
      <c r="C657" s="486"/>
      <c r="D657" s="487">
        <v>1201.67</v>
      </c>
      <c r="E657" s="487"/>
      <c r="F657" s="487"/>
      <c r="G657" s="517" t="s">
        <v>470</v>
      </c>
    </row>
    <row r="658" spans="1:7" ht="12.75" customHeight="1" x14ac:dyDescent="0.2">
      <c r="A658" s="389"/>
      <c r="B658" s="516" t="s">
        <v>511</v>
      </c>
      <c r="C658" s="486"/>
      <c r="D658" s="487">
        <v>0</v>
      </c>
      <c r="E658" s="487"/>
      <c r="F658" s="487"/>
      <c r="G658" s="517">
        <v>3014</v>
      </c>
    </row>
    <row r="659" spans="1:7" ht="12.75" customHeight="1" x14ac:dyDescent="0.2">
      <c r="A659" s="389"/>
      <c r="B659" s="516" t="s">
        <v>444</v>
      </c>
      <c r="C659" s="486"/>
      <c r="D659" s="487">
        <v>0</v>
      </c>
      <c r="E659" s="487"/>
      <c r="F659" s="487"/>
      <c r="G659" s="517" t="s">
        <v>471</v>
      </c>
    </row>
    <row r="660" spans="1:7" ht="12.75" customHeight="1" x14ac:dyDescent="0.2">
      <c r="A660" s="389"/>
      <c r="B660" s="516" t="s">
        <v>445</v>
      </c>
      <c r="C660" s="486"/>
      <c r="D660" s="487">
        <v>0</v>
      </c>
      <c r="E660" s="487"/>
      <c r="F660" s="487"/>
      <c r="G660" s="517" t="s">
        <v>472</v>
      </c>
    </row>
    <row r="661" spans="1:7" ht="12.75" customHeight="1" x14ac:dyDescent="0.2">
      <c r="A661" s="389"/>
      <c r="B661" s="525" t="s">
        <v>50</v>
      </c>
      <c r="C661" s="486"/>
      <c r="D661" s="487">
        <v>337109.42</v>
      </c>
      <c r="E661" s="487"/>
      <c r="F661" s="487"/>
      <c r="G661" s="517"/>
    </row>
    <row r="662" spans="1:7" ht="12.75" customHeight="1" x14ac:dyDescent="0.2">
      <c r="A662" s="389"/>
      <c r="B662" s="516" t="s">
        <v>515</v>
      </c>
      <c r="C662" s="486"/>
      <c r="D662" s="487">
        <v>0</v>
      </c>
      <c r="E662" s="487"/>
      <c r="F662" s="487"/>
      <c r="G662" s="517">
        <v>3027</v>
      </c>
    </row>
    <row r="663" spans="1:7" ht="12.75" customHeight="1" x14ac:dyDescent="0.2">
      <c r="A663" s="389"/>
      <c r="B663" s="516" t="s">
        <v>505</v>
      </c>
      <c r="C663" s="486"/>
      <c r="D663" s="487">
        <v>0</v>
      </c>
      <c r="E663" s="487"/>
      <c r="F663" s="487"/>
      <c r="G663" s="517">
        <v>3029</v>
      </c>
    </row>
    <row r="664" spans="1:7" ht="12.75" customHeight="1" x14ac:dyDescent="0.2">
      <c r="A664" s="389"/>
      <c r="B664" s="516" t="s">
        <v>446</v>
      </c>
      <c r="C664" s="486"/>
      <c r="D664" s="487">
        <v>917.78</v>
      </c>
      <c r="E664" s="487"/>
      <c r="F664" s="487"/>
      <c r="G664" s="517" t="s">
        <v>473</v>
      </c>
    </row>
    <row r="665" spans="1:7" ht="12.75" customHeight="1" x14ac:dyDescent="0.2">
      <c r="A665" s="389"/>
      <c r="B665" s="516" t="s">
        <v>447</v>
      </c>
      <c r="C665" s="486"/>
      <c r="D665" s="487">
        <v>0</v>
      </c>
      <c r="E665" s="487"/>
      <c r="F665" s="487"/>
      <c r="G665" s="517" t="s">
        <v>474</v>
      </c>
    </row>
    <row r="666" spans="1:7" ht="12.75" customHeight="1" x14ac:dyDescent="0.2">
      <c r="A666" s="389"/>
      <c r="B666" s="516" t="s">
        <v>497</v>
      </c>
      <c r="C666" s="486"/>
      <c r="D666" s="487">
        <v>0</v>
      </c>
      <c r="E666" s="487"/>
      <c r="F666" s="487"/>
      <c r="G666" s="517">
        <v>3034</v>
      </c>
    </row>
    <row r="667" spans="1:7" ht="12.75" customHeight="1" x14ac:dyDescent="0.2">
      <c r="A667" s="389"/>
      <c r="B667" s="516" t="s">
        <v>448</v>
      </c>
      <c r="C667" s="486"/>
      <c r="D667" s="487">
        <v>124.97</v>
      </c>
      <c r="E667" s="487"/>
      <c r="F667" s="487"/>
      <c r="G667" s="517" t="s">
        <v>475</v>
      </c>
    </row>
    <row r="668" spans="1:7" ht="12.75" customHeight="1" x14ac:dyDescent="0.2">
      <c r="A668" s="389"/>
      <c r="B668" s="516" t="s">
        <v>449</v>
      </c>
      <c r="C668" s="486"/>
      <c r="D668" s="487">
        <v>8391</v>
      </c>
      <c r="E668" s="487"/>
      <c r="F668" s="487"/>
      <c r="G668" s="517" t="s">
        <v>476</v>
      </c>
    </row>
    <row r="669" spans="1:7" ht="12.75" customHeight="1" x14ac:dyDescent="0.2">
      <c r="A669" s="389"/>
      <c r="B669" s="516" t="s">
        <v>450</v>
      </c>
      <c r="C669" s="486"/>
      <c r="D669" s="487">
        <v>0</v>
      </c>
      <c r="E669" s="487"/>
      <c r="F669" s="487"/>
      <c r="G669" s="517" t="s">
        <v>477</v>
      </c>
    </row>
    <row r="670" spans="1:7" ht="12.75" customHeight="1" x14ac:dyDescent="0.2">
      <c r="A670" s="389"/>
      <c r="B670" s="516" t="s">
        <v>451</v>
      </c>
      <c r="C670" s="486"/>
      <c r="D670" s="487">
        <v>0</v>
      </c>
      <c r="E670" s="487"/>
      <c r="F670" s="487"/>
      <c r="G670" s="517" t="s">
        <v>478</v>
      </c>
    </row>
    <row r="671" spans="1:7" ht="12.75" customHeight="1" x14ac:dyDescent="0.2">
      <c r="A671" s="389"/>
      <c r="B671" s="516" t="s">
        <v>452</v>
      </c>
      <c r="C671" s="486"/>
      <c r="D671" s="487">
        <v>0</v>
      </c>
      <c r="E671" s="487"/>
      <c r="F671" s="487"/>
      <c r="G671" s="517" t="s">
        <v>479</v>
      </c>
    </row>
    <row r="672" spans="1:7" ht="12.75" customHeight="1" x14ac:dyDescent="0.2">
      <c r="A672" s="389"/>
      <c r="B672" s="516" t="s">
        <v>453</v>
      </c>
      <c r="C672" s="486"/>
      <c r="D672" s="487">
        <v>0</v>
      </c>
      <c r="E672" s="487"/>
      <c r="F672" s="487"/>
      <c r="G672" s="517" t="s">
        <v>480</v>
      </c>
    </row>
    <row r="673" spans="1:7" ht="12.75" customHeight="1" x14ac:dyDescent="0.2">
      <c r="A673" s="389"/>
      <c r="B673" s="516" t="s">
        <v>507</v>
      </c>
      <c r="C673" s="486"/>
      <c r="D673" s="487">
        <v>0</v>
      </c>
      <c r="E673" s="487"/>
      <c r="F673" s="487"/>
      <c r="G673" s="517">
        <v>3042</v>
      </c>
    </row>
    <row r="674" spans="1:7" ht="12.75" customHeight="1" x14ac:dyDescent="0.2">
      <c r="A674" s="389"/>
      <c r="B674" s="516" t="s">
        <v>454</v>
      </c>
      <c r="C674" s="486"/>
      <c r="D674" s="487">
        <v>105904.88</v>
      </c>
      <c r="E674" s="487"/>
      <c r="F674" s="487"/>
      <c r="G674" s="517" t="s">
        <v>481</v>
      </c>
    </row>
    <row r="675" spans="1:7" ht="12.75" customHeight="1" x14ac:dyDescent="0.2">
      <c r="A675" s="389"/>
      <c r="B675" s="516" t="s">
        <v>455</v>
      </c>
      <c r="C675" s="486"/>
      <c r="D675" s="487">
        <v>0</v>
      </c>
      <c r="E675" s="487"/>
      <c r="F675" s="487"/>
      <c r="G675" s="517" t="s">
        <v>482</v>
      </c>
    </row>
    <row r="676" spans="1:7" ht="12.75" customHeight="1" x14ac:dyDescent="0.2">
      <c r="A676" s="389"/>
      <c r="B676" s="516" t="s">
        <v>456</v>
      </c>
      <c r="C676" s="486"/>
      <c r="D676" s="487">
        <v>6516</v>
      </c>
      <c r="E676" s="487"/>
      <c r="F676" s="487"/>
      <c r="G676" s="517" t="s">
        <v>483</v>
      </c>
    </row>
    <row r="677" spans="1:7" ht="12.75" customHeight="1" x14ac:dyDescent="0.2">
      <c r="A677" s="389"/>
      <c r="B677" s="516" t="s">
        <v>498</v>
      </c>
      <c r="C677" s="486"/>
      <c r="D677" s="487">
        <v>11464.54</v>
      </c>
      <c r="E677" s="487"/>
      <c r="F677" s="487"/>
      <c r="G677" s="517">
        <v>3048</v>
      </c>
    </row>
    <row r="678" spans="1:7" ht="12.75" customHeight="1" x14ac:dyDescent="0.2">
      <c r="A678" s="389"/>
      <c r="B678" s="516" t="s">
        <v>457</v>
      </c>
      <c r="C678" s="486"/>
      <c r="D678" s="487">
        <v>0</v>
      </c>
      <c r="E678" s="487"/>
      <c r="F678" s="487"/>
      <c r="G678" s="517" t="s">
        <v>484</v>
      </c>
    </row>
    <row r="679" spans="1:7" ht="12.75" customHeight="1" x14ac:dyDescent="0.2">
      <c r="A679" s="389"/>
      <c r="B679" s="516" t="s">
        <v>458</v>
      </c>
      <c r="C679" s="486"/>
      <c r="D679" s="487">
        <v>0</v>
      </c>
      <c r="E679" s="487"/>
      <c r="F679" s="487"/>
      <c r="G679" s="517" t="s">
        <v>485</v>
      </c>
    </row>
    <row r="680" spans="1:7" ht="12.75" customHeight="1" x14ac:dyDescent="0.2">
      <c r="A680" s="389"/>
      <c r="B680" s="516" t="s">
        <v>501</v>
      </c>
      <c r="C680" s="486"/>
      <c r="D680" s="487">
        <v>0</v>
      </c>
      <c r="E680" s="487"/>
      <c r="F680" s="487"/>
      <c r="G680" s="517">
        <v>3051</v>
      </c>
    </row>
    <row r="681" spans="1:7" ht="12.75" customHeight="1" x14ac:dyDescent="0.2">
      <c r="A681" s="389"/>
      <c r="B681" s="516" t="s">
        <v>777</v>
      </c>
      <c r="C681" s="486"/>
      <c r="D681" s="487">
        <v>0</v>
      </c>
      <c r="E681" s="487"/>
      <c r="F681" s="487"/>
      <c r="G681" s="517">
        <v>3053</v>
      </c>
    </row>
    <row r="682" spans="1:7" ht="12.75" customHeight="1" x14ac:dyDescent="0.2">
      <c r="A682" s="389"/>
      <c r="B682" s="516" t="s">
        <v>459</v>
      </c>
      <c r="C682" s="486"/>
      <c r="D682" s="487">
        <v>3748.38</v>
      </c>
      <c r="E682" s="487"/>
      <c r="F682" s="487"/>
      <c r="G682" s="517" t="s">
        <v>486</v>
      </c>
    </row>
    <row r="683" spans="1:7" ht="12.75" customHeight="1" x14ac:dyDescent="0.2">
      <c r="A683" s="389"/>
      <c r="B683" s="516" t="s">
        <v>502</v>
      </c>
      <c r="C683" s="486"/>
      <c r="D683" s="487">
        <v>964.35</v>
      </c>
      <c r="E683" s="487"/>
      <c r="F683" s="487"/>
      <c r="G683" s="517">
        <v>3056</v>
      </c>
    </row>
    <row r="684" spans="1:7" ht="12.75" customHeight="1" x14ac:dyDescent="0.2">
      <c r="A684" s="389"/>
      <c r="B684" s="516" t="s">
        <v>460</v>
      </c>
      <c r="C684" s="486"/>
      <c r="D684" s="487">
        <v>0</v>
      </c>
      <c r="E684" s="487"/>
      <c r="F684" s="487"/>
      <c r="G684" s="517">
        <v>3057</v>
      </c>
    </row>
    <row r="685" spans="1:7" ht="12.75" customHeight="1" x14ac:dyDescent="0.2">
      <c r="A685" s="389"/>
      <c r="B685" s="516" t="s">
        <v>461</v>
      </c>
      <c r="C685" s="486"/>
      <c r="D685" s="487">
        <v>3304.01</v>
      </c>
      <c r="E685" s="487"/>
      <c r="F685" s="487"/>
      <c r="G685" s="517" t="s">
        <v>488</v>
      </c>
    </row>
    <row r="686" spans="1:7" ht="12.75" customHeight="1" x14ac:dyDescent="0.2">
      <c r="A686" s="389"/>
      <c r="B686" s="516" t="s">
        <v>462</v>
      </c>
      <c r="C686" s="486"/>
      <c r="D686" s="487">
        <v>19391.560000000001</v>
      </c>
      <c r="E686" s="487"/>
      <c r="F686" s="487"/>
      <c r="G686" s="517" t="s">
        <v>489</v>
      </c>
    </row>
    <row r="687" spans="1:7" ht="12.75" customHeight="1" x14ac:dyDescent="0.2">
      <c r="A687" s="389"/>
      <c r="B687" s="516" t="s">
        <v>847</v>
      </c>
      <c r="C687" s="486"/>
      <c r="D687" s="487">
        <v>2400</v>
      </c>
      <c r="E687" s="487"/>
      <c r="F687" s="487"/>
      <c r="G687" s="517" t="s">
        <v>489</v>
      </c>
    </row>
    <row r="688" spans="1:7" ht="12.75" customHeight="1" x14ac:dyDescent="0.2">
      <c r="A688" s="389"/>
      <c r="B688" s="516" t="s">
        <v>499</v>
      </c>
      <c r="C688" s="486"/>
      <c r="D688" s="487">
        <v>28619.85</v>
      </c>
      <c r="E688" s="487"/>
      <c r="F688" s="487"/>
      <c r="G688" s="517">
        <v>3061</v>
      </c>
    </row>
    <row r="689" spans="1:8" ht="12.75" customHeight="1" x14ac:dyDescent="0.2">
      <c r="A689" s="389"/>
      <c r="B689" s="516" t="s">
        <v>508</v>
      </c>
      <c r="C689" s="486"/>
      <c r="D689" s="487">
        <v>0</v>
      </c>
      <c r="E689" s="487"/>
      <c r="F689" s="487"/>
      <c r="G689" s="517">
        <v>3063</v>
      </c>
    </row>
    <row r="690" spans="1:8" ht="12.75" customHeight="1" x14ac:dyDescent="0.2">
      <c r="A690" s="389"/>
      <c r="B690" s="516" t="s">
        <v>463</v>
      </c>
      <c r="C690" s="486"/>
      <c r="D690" s="487">
        <v>0</v>
      </c>
      <c r="E690" s="487"/>
      <c r="F690" s="487"/>
      <c r="G690" s="517" t="s">
        <v>490</v>
      </c>
    </row>
    <row r="691" spans="1:8" ht="12.75" customHeight="1" x14ac:dyDescent="0.2">
      <c r="A691" s="389"/>
      <c r="B691" s="516" t="s">
        <v>512</v>
      </c>
      <c r="C691" s="486"/>
      <c r="D691" s="487">
        <v>3212</v>
      </c>
      <c r="E691" s="487"/>
      <c r="F691" s="487"/>
      <c r="G691" s="517">
        <v>3065</v>
      </c>
    </row>
    <row r="692" spans="1:8" ht="12.75" customHeight="1" x14ac:dyDescent="0.2">
      <c r="A692" s="389"/>
      <c r="B692" s="516" t="s">
        <v>464</v>
      </c>
      <c r="C692" s="486"/>
      <c r="D692" s="487">
        <v>145</v>
      </c>
      <c r="E692" s="487"/>
      <c r="F692" s="487"/>
      <c r="G692" s="517">
        <v>3066</v>
      </c>
    </row>
    <row r="693" spans="1:8" ht="12.75" customHeight="1" x14ac:dyDescent="0.2">
      <c r="A693" s="389"/>
      <c r="B693" s="516" t="s">
        <v>465</v>
      </c>
      <c r="C693" s="486"/>
      <c r="D693" s="487">
        <v>128073.55</v>
      </c>
      <c r="E693" s="487"/>
      <c r="F693" s="487"/>
      <c r="G693" s="517" t="s">
        <v>492</v>
      </c>
      <c r="H693" s="489"/>
    </row>
    <row r="694" spans="1:8" ht="12.75" customHeight="1" x14ac:dyDescent="0.2">
      <c r="A694" s="389"/>
      <c r="B694" s="516" t="s">
        <v>466</v>
      </c>
      <c r="C694" s="486"/>
      <c r="D694" s="487">
        <v>0</v>
      </c>
      <c r="E694" s="487"/>
      <c r="F694" s="487"/>
      <c r="G694" s="517">
        <v>3068</v>
      </c>
      <c r="H694" s="489"/>
    </row>
    <row r="695" spans="1:8" ht="12.75" customHeight="1" x14ac:dyDescent="0.2">
      <c r="A695" s="389"/>
      <c r="B695" s="516" t="s">
        <v>467</v>
      </c>
      <c r="C695" s="486"/>
      <c r="D695" s="487">
        <v>0</v>
      </c>
      <c r="E695" s="487"/>
      <c r="F695" s="487"/>
      <c r="G695" s="517">
        <v>3069</v>
      </c>
      <c r="H695" s="489"/>
    </row>
    <row r="696" spans="1:8" ht="12.75" customHeight="1" x14ac:dyDescent="0.2">
      <c r="A696" s="389"/>
      <c r="B696" s="516" t="s">
        <v>503</v>
      </c>
      <c r="C696" s="486"/>
      <c r="D696" s="487">
        <v>0</v>
      </c>
      <c r="E696" s="487"/>
      <c r="F696" s="487"/>
      <c r="G696" s="517">
        <v>3073</v>
      </c>
    </row>
    <row r="697" spans="1:8" ht="12.75" customHeight="1" x14ac:dyDescent="0.2">
      <c r="A697" s="389"/>
      <c r="B697" s="519" t="s">
        <v>248</v>
      </c>
      <c r="D697" s="487">
        <v>133328</v>
      </c>
      <c r="E697" s="518">
        <f>SUM(D697)</f>
        <v>133328</v>
      </c>
      <c r="F697" s="487"/>
      <c r="G697" s="477">
        <v>3001</v>
      </c>
      <c r="H697" s="489"/>
    </row>
    <row r="698" spans="1:8" ht="12.75" customHeight="1" x14ac:dyDescent="0.2">
      <c r="A698" s="389"/>
      <c r="B698" s="520" t="s">
        <v>345</v>
      </c>
      <c r="C698" s="491"/>
      <c r="D698" s="487"/>
      <c r="E698" s="518">
        <f>SUM(D699:D704)</f>
        <v>1046122.3400000001</v>
      </c>
      <c r="F698" s="487"/>
    </row>
    <row r="699" spans="1:8" ht="12.75" customHeight="1" x14ac:dyDescent="0.2">
      <c r="A699" s="389"/>
      <c r="B699" s="488"/>
      <c r="C699" s="490" t="s">
        <v>249</v>
      </c>
      <c r="D699" s="487">
        <v>36523.480000000003</v>
      </c>
      <c r="E699" s="487"/>
      <c r="F699" s="487"/>
      <c r="G699" s="477">
        <v>4000</v>
      </c>
    </row>
    <row r="700" spans="1:8" ht="12.75" customHeight="1" x14ac:dyDescent="0.2">
      <c r="A700" s="389"/>
      <c r="B700" s="488"/>
      <c r="C700" s="490" t="s">
        <v>250</v>
      </c>
      <c r="D700" s="487">
        <v>191906.56</v>
      </c>
      <c r="E700" s="487"/>
      <c r="F700" s="487"/>
      <c r="G700" s="477">
        <v>4001</v>
      </c>
    </row>
    <row r="701" spans="1:8" ht="12.75" customHeight="1" x14ac:dyDescent="0.2">
      <c r="A701" s="389"/>
      <c r="B701" s="488"/>
      <c r="C701" s="490" t="s">
        <v>251</v>
      </c>
      <c r="D701" s="487">
        <v>316748.03000000003</v>
      </c>
      <c r="E701" s="487"/>
      <c r="F701" s="487"/>
    </row>
    <row r="702" spans="1:8" ht="12.75" customHeight="1" x14ac:dyDescent="0.2">
      <c r="A702" s="389"/>
      <c r="B702" s="488"/>
      <c r="C702" s="490" t="s">
        <v>252</v>
      </c>
      <c r="D702" s="487">
        <v>144026.41</v>
      </c>
      <c r="E702" s="487"/>
      <c r="F702" s="487"/>
    </row>
    <row r="703" spans="1:8" ht="12.75" customHeight="1" x14ac:dyDescent="0.2">
      <c r="A703" s="389"/>
      <c r="B703" s="488"/>
      <c r="C703" s="491" t="s">
        <v>253</v>
      </c>
      <c r="D703" s="487">
        <v>12008.63</v>
      </c>
      <c r="E703" s="487"/>
      <c r="F703" s="487"/>
    </row>
    <row r="704" spans="1:8" ht="12.75" customHeight="1" x14ac:dyDescent="0.2">
      <c r="A704" s="389"/>
      <c r="B704" s="488"/>
      <c r="C704" s="491" t="s">
        <v>114</v>
      </c>
      <c r="D704" s="487">
        <v>344909.23</v>
      </c>
      <c r="E704" s="487"/>
      <c r="F704" s="487"/>
    </row>
    <row r="705" spans="1:8" ht="12.75" customHeight="1" x14ac:dyDescent="0.2">
      <c r="A705" s="492"/>
      <c r="B705" s="520" t="s">
        <v>651</v>
      </c>
      <c r="C705" s="491"/>
      <c r="D705" s="487">
        <v>0</v>
      </c>
      <c r="E705" s="518">
        <f>D705</f>
        <v>0</v>
      </c>
      <c r="F705" s="495"/>
    </row>
    <row r="706" spans="1:8" ht="12.75" customHeight="1" x14ac:dyDescent="0.2">
      <c r="A706" s="492"/>
      <c r="B706" s="522" t="s">
        <v>848</v>
      </c>
      <c r="D706" s="487">
        <v>15799.2</v>
      </c>
      <c r="E706" s="521">
        <f>D706</f>
        <v>15799.2</v>
      </c>
      <c r="F706" s="495"/>
      <c r="G706" s="477" t="s">
        <v>773</v>
      </c>
    </row>
    <row r="707" spans="1:8" ht="12.75" customHeight="1" thickBot="1" x14ac:dyDescent="0.25">
      <c r="A707" s="496"/>
      <c r="B707" s="497"/>
      <c r="C707" s="498"/>
      <c r="D707" s="499"/>
      <c r="E707" s="500"/>
      <c r="F707" s="890">
        <f>SUM(E651:E706)</f>
        <v>1858403.5</v>
      </c>
      <c r="H707" s="501">
        <f>'Sched-B1'!B16+'Sched-B2'!E224+'Sched-D1'!F707-6352997.2-337109.42</f>
        <v>0</v>
      </c>
    </row>
    <row r="708" spans="1:8" s="465" customFormat="1" ht="18.75" customHeight="1" thickBot="1" x14ac:dyDescent="0.25">
      <c r="A708" s="613"/>
      <c r="B708" s="614" t="s">
        <v>6</v>
      </c>
      <c r="C708" s="615"/>
      <c r="D708" s="616"/>
      <c r="E708" s="617"/>
      <c r="F708" s="618">
        <f>SUM(F3:F707)</f>
        <v>47775974.159999996</v>
      </c>
      <c r="H708" s="619"/>
    </row>
    <row r="709" spans="1:8" ht="12.75" customHeight="1" thickTop="1" x14ac:dyDescent="0.2">
      <c r="C709" s="511"/>
    </row>
    <row r="710" spans="1:8" ht="12.75" customHeight="1" x14ac:dyDescent="0.2">
      <c r="A710" s="94" t="s">
        <v>850</v>
      </c>
      <c r="C710" s="511"/>
    </row>
    <row r="711" spans="1:8" x14ac:dyDescent="0.2">
      <c r="C711" s="511"/>
    </row>
    <row r="712" spans="1:8" x14ac:dyDescent="0.2">
      <c r="A712" s="513"/>
      <c r="C712" s="511"/>
      <c r="F712" s="512">
        <f>F708+'Sched-B1'!F17</f>
        <v>255220770.46000001</v>
      </c>
      <c r="G712" s="477" t="s">
        <v>895</v>
      </c>
    </row>
    <row r="713" spans="1:8" x14ac:dyDescent="0.2">
      <c r="C713" s="511"/>
      <c r="F713" s="868"/>
      <c r="G713" s="477" t="s">
        <v>849</v>
      </c>
    </row>
    <row r="714" spans="1:8" x14ac:dyDescent="0.2">
      <c r="F714" s="869">
        <f>D11+D60+D109+D164+D221+D276+D335+D387+D442+D496+D553+D610+D661</f>
        <v>11646051.730000002</v>
      </c>
      <c r="G714" s="477" t="s">
        <v>522</v>
      </c>
    </row>
    <row r="715" spans="1:8" ht="13.5" thickBot="1" x14ac:dyDescent="0.25">
      <c r="F715" s="870">
        <f>+D602+D545+D324+D325+D52</f>
        <v>-456632.66000000003</v>
      </c>
      <c r="G715" s="477" t="s">
        <v>705</v>
      </c>
    </row>
    <row r="716" spans="1:8" ht="13.5" thickTop="1" x14ac:dyDescent="0.2">
      <c r="F716" s="718">
        <f>F712-F713-F714-F715</f>
        <v>244031351.39000002</v>
      </c>
      <c r="G716" s="477" t="s">
        <v>706</v>
      </c>
    </row>
  </sheetData>
  <mergeCells count="3">
    <mergeCell ref="B2:C2"/>
    <mergeCell ref="D2:E2"/>
    <mergeCell ref="A1:F1"/>
  </mergeCells>
  <phoneticPr fontId="22" type="noConversion"/>
  <printOptions horizontalCentered="1"/>
  <pageMargins left="0" right="0" top="1.5" bottom="1" header="0.33" footer="0.5"/>
  <pageSetup scale="99" fitToHeight="0" orientation="portrait" r:id="rId1"/>
  <headerFooter alignWithMargins="0">
    <oddHeader>&amp;C&amp;"Arial,Bold"&amp;12DEPARTMENT OF CORRECTIONS
 2025 COST OF CARE 
(Based on FY2024 Actuals)</oddHeader>
    <oddFooter>&amp;L&amp;8&amp;F &amp;A&amp;R&amp;8&amp;D &amp;T</oddFooter>
  </headerFooter>
  <colBreaks count="1" manualBreakCount="1">
    <brk id="6"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59999389629810485"/>
    <pageSetUpPr fitToPage="1"/>
  </sheetPr>
  <dimension ref="A1:J157"/>
  <sheetViews>
    <sheetView showGridLines="0" zoomScaleNormal="100" workbookViewId="0">
      <pane ySplit="2" topLeftCell="A124" activePane="bottomLeft" state="frozen"/>
      <selection activeCell="B35" sqref="B35"/>
      <selection pane="bottomLeft" activeCell="A62" sqref="A62"/>
    </sheetView>
  </sheetViews>
  <sheetFormatPr defaultColWidth="9.140625" defaultRowHeight="12.75" x14ac:dyDescent="0.2"/>
  <cols>
    <col min="1" max="1" width="22.85546875" style="477" customWidth="1"/>
    <col min="2" max="2" width="9.140625" style="477"/>
    <col min="3" max="3" width="25.28515625" style="477" customWidth="1"/>
    <col min="4" max="4" width="15.140625" style="477" customWidth="1"/>
    <col min="5" max="5" width="18" style="477" customWidth="1"/>
    <col min="6" max="6" width="19.140625" style="477" customWidth="1"/>
    <col min="7" max="7" width="10.140625" style="477" customWidth="1"/>
    <col min="8" max="8" width="16.5703125" style="477" customWidth="1"/>
    <col min="9" max="9" width="12.28515625" style="477" bestFit="1" customWidth="1"/>
    <col min="10" max="10" width="15" style="477" bestFit="1" customWidth="1"/>
    <col min="11" max="16384" width="9.140625" style="477"/>
  </cols>
  <sheetData>
    <row r="1" spans="1:9" ht="29.25" customHeight="1" thickBot="1" x14ac:dyDescent="0.25">
      <c r="A1" s="972" t="s">
        <v>104</v>
      </c>
      <c r="B1" s="972"/>
      <c r="C1" s="972"/>
      <c r="D1" s="972"/>
      <c r="E1" s="972"/>
      <c r="F1" s="972"/>
    </row>
    <row r="2" spans="1:9" ht="36.75" customHeight="1" thickTop="1" thickBot="1" x14ac:dyDescent="0.25">
      <c r="A2" s="528" t="s">
        <v>1</v>
      </c>
      <c r="B2" s="979" t="s">
        <v>48</v>
      </c>
      <c r="C2" s="980"/>
      <c r="D2" s="973" t="s">
        <v>4</v>
      </c>
      <c r="E2" s="974"/>
      <c r="F2" s="529" t="s">
        <v>26</v>
      </c>
      <c r="G2" s="480" t="s">
        <v>439</v>
      </c>
      <c r="H2" s="481"/>
    </row>
    <row r="3" spans="1:9" ht="15" customHeight="1" thickTop="1" x14ac:dyDescent="0.2">
      <c r="A3" s="530" t="s">
        <v>530</v>
      </c>
      <c r="B3" s="981" t="s">
        <v>213</v>
      </c>
      <c r="C3" s="982"/>
      <c r="D3" s="531"/>
      <c r="E3" s="532">
        <v>0</v>
      </c>
      <c r="F3" s="533"/>
    </row>
    <row r="4" spans="1:9" x14ac:dyDescent="0.2">
      <c r="A4" s="534" t="s">
        <v>529</v>
      </c>
      <c r="B4" s="535" t="s">
        <v>49</v>
      </c>
      <c r="C4" s="536"/>
      <c r="D4" s="509"/>
      <c r="E4" s="485">
        <v>0</v>
      </c>
      <c r="F4" s="485"/>
    </row>
    <row r="5" spans="1:9" x14ac:dyDescent="0.2">
      <c r="A5" s="389"/>
      <c r="B5" s="537" t="s">
        <v>115</v>
      </c>
      <c r="C5" s="486"/>
      <c r="D5" s="487"/>
      <c r="E5" s="518">
        <f>SUM(D6:D10)</f>
        <v>0</v>
      </c>
      <c r="F5" s="487"/>
    </row>
    <row r="6" spans="1:9" x14ac:dyDescent="0.2">
      <c r="A6" s="389"/>
      <c r="B6" s="488"/>
      <c r="C6" s="486" t="s">
        <v>242</v>
      </c>
      <c r="D6" s="487">
        <v>0</v>
      </c>
      <c r="E6" s="487"/>
      <c r="F6" s="487"/>
    </row>
    <row r="7" spans="1:9" x14ac:dyDescent="0.2">
      <c r="A7" s="389"/>
      <c r="B7" s="488"/>
      <c r="C7" s="486" t="s">
        <v>244</v>
      </c>
      <c r="D7" s="487">
        <v>0</v>
      </c>
      <c r="E7" s="487"/>
      <c r="F7" s="487"/>
    </row>
    <row r="8" spans="1:9" x14ac:dyDescent="0.2">
      <c r="A8" s="389"/>
      <c r="B8" s="488"/>
      <c r="C8" s="486" t="s">
        <v>245</v>
      </c>
      <c r="D8" s="487">
        <v>0</v>
      </c>
      <c r="E8" s="487"/>
      <c r="F8" s="487"/>
    </row>
    <row r="9" spans="1:9" x14ac:dyDescent="0.2">
      <c r="A9" s="389"/>
      <c r="B9" s="488"/>
      <c r="C9" s="486" t="s">
        <v>247</v>
      </c>
      <c r="D9" s="487">
        <v>0</v>
      </c>
      <c r="E9" s="487"/>
      <c r="F9" s="487"/>
    </row>
    <row r="10" spans="1:9" x14ac:dyDescent="0.2">
      <c r="A10" s="389"/>
      <c r="B10" s="488"/>
      <c r="C10" s="486" t="s">
        <v>346</v>
      </c>
      <c r="D10" s="487">
        <v>0</v>
      </c>
      <c r="E10" s="487"/>
      <c r="F10" s="487"/>
    </row>
    <row r="11" spans="1:9" x14ac:dyDescent="0.2">
      <c r="A11" s="389"/>
      <c r="B11" s="488"/>
      <c r="C11" s="519" t="s">
        <v>248</v>
      </c>
      <c r="D11" s="487">
        <v>0</v>
      </c>
      <c r="E11" s="518">
        <f>SUM(D11)</f>
        <v>0</v>
      </c>
      <c r="F11" s="487"/>
      <c r="I11" s="489"/>
    </row>
    <row r="12" spans="1:9" x14ac:dyDescent="0.2">
      <c r="A12" s="389"/>
      <c r="B12" s="520" t="s">
        <v>345</v>
      </c>
      <c r="C12" s="491"/>
      <c r="D12" s="487"/>
      <c r="E12" s="518">
        <f>SUM(D13:D15)</f>
        <v>0</v>
      </c>
      <c r="F12" s="487"/>
    </row>
    <row r="13" spans="1:9" x14ac:dyDescent="0.2">
      <c r="A13" s="389"/>
      <c r="B13" s="488"/>
      <c r="C13" s="490" t="s">
        <v>249</v>
      </c>
      <c r="D13" s="487">
        <v>0</v>
      </c>
      <c r="E13" s="487"/>
      <c r="F13" s="487"/>
    </row>
    <row r="14" spans="1:9" x14ac:dyDescent="0.2">
      <c r="A14" s="389"/>
      <c r="B14" s="488"/>
      <c r="C14" s="491" t="s">
        <v>253</v>
      </c>
      <c r="D14" s="487">
        <v>0</v>
      </c>
      <c r="E14" s="487"/>
      <c r="F14" s="487"/>
    </row>
    <row r="15" spans="1:9" x14ac:dyDescent="0.2">
      <c r="A15" s="389"/>
      <c r="B15" s="488"/>
      <c r="C15" s="491" t="s">
        <v>114</v>
      </c>
      <c r="D15" s="487">
        <v>0</v>
      </c>
      <c r="E15" s="487"/>
      <c r="F15" s="487"/>
    </row>
    <row r="16" spans="1:9" x14ac:dyDescent="0.2">
      <c r="A16" s="389"/>
      <c r="B16" s="538" t="s">
        <v>254</v>
      </c>
      <c r="C16" s="494"/>
      <c r="D16" s="505">
        <v>0</v>
      </c>
      <c r="E16" s="495">
        <f>SUM(D16)</f>
        <v>0</v>
      </c>
      <c r="F16" s="487"/>
    </row>
    <row r="17" spans="1:9" ht="13.5" thickBot="1" x14ac:dyDescent="0.25">
      <c r="A17" s="539"/>
      <c r="B17" s="540"/>
      <c r="C17" s="541"/>
      <c r="D17" s="510"/>
      <c r="E17" s="503"/>
      <c r="F17" s="891">
        <f>SUM(E3:E16)</f>
        <v>0</v>
      </c>
      <c r="H17" s="501">
        <f>F17-0</f>
        <v>0</v>
      </c>
    </row>
    <row r="18" spans="1:9" ht="13.5" thickTop="1" x14ac:dyDescent="0.2">
      <c r="A18" s="542" t="s">
        <v>301</v>
      </c>
      <c r="B18" s="977" t="s">
        <v>213</v>
      </c>
      <c r="C18" s="978"/>
      <c r="D18" s="531"/>
      <c r="E18" s="532">
        <f>468179.93+218618.66+1460.49</f>
        <v>688259.08</v>
      </c>
      <c r="F18" s="533"/>
      <c r="G18" s="477" t="s">
        <v>659</v>
      </c>
    </row>
    <row r="19" spans="1:9" x14ac:dyDescent="0.2">
      <c r="A19" s="534"/>
      <c r="B19" s="535" t="s">
        <v>49</v>
      </c>
      <c r="C19" s="536"/>
      <c r="D19" s="509"/>
      <c r="E19" s="485">
        <f>3366.24+8627.8</f>
        <v>11994.039999999999</v>
      </c>
      <c r="F19" s="485"/>
    </row>
    <row r="20" spans="1:9" x14ac:dyDescent="0.2">
      <c r="A20" s="389"/>
      <c r="B20" s="514" t="s">
        <v>440</v>
      </c>
      <c r="C20" s="486"/>
      <c r="D20" s="487">
        <v>396965.07</v>
      </c>
      <c r="E20" s="518">
        <f>SUM(D20:D23)</f>
        <v>396965.07</v>
      </c>
      <c r="F20" s="487"/>
    </row>
    <row r="21" spans="1:9" x14ac:dyDescent="0.2">
      <c r="A21" s="389"/>
      <c r="B21" s="516" t="s">
        <v>445</v>
      </c>
      <c r="C21" s="486"/>
      <c r="D21" s="487">
        <v>0</v>
      </c>
      <c r="E21" s="487"/>
      <c r="F21" s="487"/>
      <c r="G21" s="477">
        <v>3019</v>
      </c>
    </row>
    <row r="22" spans="1:9" x14ac:dyDescent="0.2">
      <c r="A22" s="389"/>
      <c r="B22" s="516" t="s">
        <v>447</v>
      </c>
      <c r="C22" s="486"/>
      <c r="D22" s="487">
        <v>0</v>
      </c>
      <c r="E22" s="487"/>
      <c r="F22" s="487"/>
      <c r="G22" s="477">
        <v>3033</v>
      </c>
    </row>
    <row r="23" spans="1:9" x14ac:dyDescent="0.2">
      <c r="A23" s="389"/>
      <c r="B23" s="516" t="s">
        <v>467</v>
      </c>
      <c r="C23" s="486"/>
      <c r="D23" s="487">
        <v>0</v>
      </c>
      <c r="E23" s="487"/>
      <c r="F23" s="487"/>
      <c r="G23" s="477">
        <v>3069</v>
      </c>
    </row>
    <row r="24" spans="1:9" x14ac:dyDescent="0.2">
      <c r="A24" s="389"/>
      <c r="B24" s="519" t="s">
        <v>248</v>
      </c>
      <c r="C24" s="519"/>
      <c r="D24" s="487">
        <v>20960.79</v>
      </c>
      <c r="E24" s="518">
        <f>SUM(D24)</f>
        <v>20960.79</v>
      </c>
      <c r="F24" s="487"/>
    </row>
    <row r="25" spans="1:9" x14ac:dyDescent="0.2">
      <c r="A25" s="389"/>
      <c r="B25" s="520" t="s">
        <v>345</v>
      </c>
      <c r="C25" s="491"/>
      <c r="D25" s="487"/>
      <c r="E25" s="518">
        <f>SUM(D26:D29)</f>
        <v>4267.37</v>
      </c>
      <c r="F25" s="487"/>
    </row>
    <row r="26" spans="1:9" x14ac:dyDescent="0.2">
      <c r="A26" s="389"/>
      <c r="B26" s="488"/>
      <c r="C26" s="490" t="s">
        <v>688</v>
      </c>
      <c r="D26" s="487">
        <v>1035.23</v>
      </c>
      <c r="E26" s="487"/>
      <c r="F26" s="487"/>
      <c r="G26" s="477" t="s">
        <v>803</v>
      </c>
    </row>
    <row r="27" spans="1:9" x14ac:dyDescent="0.2">
      <c r="A27" s="389"/>
      <c r="B27" s="488"/>
      <c r="C27" s="490" t="s">
        <v>251</v>
      </c>
      <c r="D27" s="487">
        <v>1246.1500000000001</v>
      </c>
      <c r="E27" s="487"/>
      <c r="F27" s="487"/>
      <c r="G27" s="477">
        <v>4002</v>
      </c>
    </row>
    <row r="28" spans="1:9" x14ac:dyDescent="0.2">
      <c r="A28" s="389"/>
      <c r="B28" s="488"/>
      <c r="C28" s="490" t="s">
        <v>253</v>
      </c>
      <c r="D28" s="487">
        <v>57</v>
      </c>
      <c r="E28" s="487"/>
      <c r="F28" s="487"/>
      <c r="G28" s="477">
        <v>4004</v>
      </c>
    </row>
    <row r="29" spans="1:9" x14ac:dyDescent="0.2">
      <c r="A29" s="389"/>
      <c r="B29" s="488"/>
      <c r="C29" s="490" t="s">
        <v>114</v>
      </c>
      <c r="D29" s="487">
        <v>1928.99</v>
      </c>
      <c r="E29" s="487"/>
      <c r="F29" s="487"/>
    </row>
    <row r="30" spans="1:9" x14ac:dyDescent="0.2">
      <c r="A30" s="389"/>
      <c r="B30" s="520" t="s">
        <v>651</v>
      </c>
      <c r="C30" s="491"/>
      <c r="D30" s="487">
        <v>0</v>
      </c>
      <c r="E30" s="518">
        <f>D30</f>
        <v>0</v>
      </c>
      <c r="F30" s="487"/>
    </row>
    <row r="31" spans="1:9" x14ac:dyDescent="0.2">
      <c r="A31" s="389"/>
      <c r="B31" s="968" t="s">
        <v>254</v>
      </c>
      <c r="C31" s="969"/>
      <c r="D31" s="505">
        <v>474415.03</v>
      </c>
      <c r="E31" s="521">
        <f>SUM(D31)</f>
        <v>474415.03</v>
      </c>
      <c r="F31" s="495"/>
      <c r="G31" s="477">
        <v>5002</v>
      </c>
    </row>
    <row r="32" spans="1:9" x14ac:dyDescent="0.2">
      <c r="A32" s="389"/>
      <c r="B32" s="493" t="s">
        <v>708</v>
      </c>
      <c r="C32" s="494"/>
      <c r="D32" s="487"/>
      <c r="E32" s="566">
        <f>-2882.6</f>
        <v>-2882.6</v>
      </c>
      <c r="F32" s="487"/>
      <c r="H32" s="893">
        <v>2882.6</v>
      </c>
      <c r="I32" s="477" t="s">
        <v>852</v>
      </c>
    </row>
    <row r="33" spans="1:9" ht="13.5" thickBot="1" x14ac:dyDescent="0.25">
      <c r="A33" s="539"/>
      <c r="B33" s="540"/>
      <c r="C33" s="541"/>
      <c r="D33" s="543"/>
      <c r="E33" s="500"/>
      <c r="F33" s="891">
        <f>SUM(E18:E32)</f>
        <v>1593978.78</v>
      </c>
      <c r="G33" s="489"/>
      <c r="H33" s="501">
        <f>F33+H32-1596861.38</f>
        <v>0</v>
      </c>
    </row>
    <row r="34" spans="1:9" ht="15" customHeight="1" x14ac:dyDescent="0.2">
      <c r="A34" s="544" t="s">
        <v>524</v>
      </c>
      <c r="B34" s="964" t="s">
        <v>781</v>
      </c>
      <c r="C34" s="965"/>
      <c r="D34" s="485"/>
      <c r="E34" s="545">
        <f>30017650.11+15661295.54+49969.2</f>
        <v>45728914.850000001</v>
      </c>
      <c r="F34" s="546"/>
      <c r="H34" s="477" t="s">
        <v>851</v>
      </c>
    </row>
    <row r="35" spans="1:9" x14ac:dyDescent="0.2">
      <c r="A35" s="534" t="s">
        <v>523</v>
      </c>
      <c r="B35" s="535" t="s">
        <v>615</v>
      </c>
      <c r="C35" s="536"/>
      <c r="D35" s="509"/>
      <c r="E35" s="485">
        <f>517762.43+33598.88+3552.41+2</f>
        <v>554915.72</v>
      </c>
      <c r="F35" s="485"/>
    </row>
    <row r="36" spans="1:9" x14ac:dyDescent="0.2">
      <c r="A36" s="389"/>
      <c r="B36" s="514" t="s">
        <v>440</v>
      </c>
      <c r="C36" s="486"/>
      <c r="D36" s="487">
        <v>32345144.469999999</v>
      </c>
      <c r="E36" s="518">
        <f>D36</f>
        <v>32345144.469999999</v>
      </c>
      <c r="F36" s="487"/>
      <c r="G36" s="477">
        <v>3000</v>
      </c>
    </row>
    <row r="37" spans="1:9" x14ac:dyDescent="0.2">
      <c r="A37" s="389"/>
      <c r="B37" s="519" t="s">
        <v>248</v>
      </c>
      <c r="C37" s="519"/>
      <c r="D37" s="487">
        <v>3007808.66</v>
      </c>
      <c r="E37" s="518">
        <f>D37</f>
        <v>3007808.66</v>
      </c>
      <c r="F37" s="487"/>
      <c r="G37" s="477">
        <v>3001</v>
      </c>
    </row>
    <row r="38" spans="1:9" x14ac:dyDescent="0.2">
      <c r="A38" s="389"/>
      <c r="B38" s="520" t="s">
        <v>345</v>
      </c>
      <c r="C38" s="491"/>
      <c r="D38" s="487"/>
      <c r="E38" s="518">
        <f>SUM(D39:D44)</f>
        <v>6519352.5900000008</v>
      </c>
      <c r="F38" s="487"/>
    </row>
    <row r="39" spans="1:9" x14ac:dyDescent="0.2">
      <c r="A39" s="389"/>
      <c r="B39" s="488"/>
      <c r="C39" s="490" t="s">
        <v>249</v>
      </c>
      <c r="D39" s="487">
        <v>230892.16</v>
      </c>
      <c r="E39" s="487"/>
      <c r="F39" s="487"/>
    </row>
    <row r="40" spans="1:9" x14ac:dyDescent="0.2">
      <c r="A40" s="389"/>
      <c r="B40" s="488"/>
      <c r="C40" s="490" t="s">
        <v>250</v>
      </c>
      <c r="D40" s="487">
        <v>0</v>
      </c>
      <c r="E40" s="487"/>
      <c r="F40" s="487"/>
      <c r="G40" s="477">
        <v>4001</v>
      </c>
    </row>
    <row r="41" spans="1:9" x14ac:dyDescent="0.2">
      <c r="A41" s="389"/>
      <c r="B41" s="488"/>
      <c r="C41" s="490" t="s">
        <v>251</v>
      </c>
      <c r="D41" s="487">
        <v>27522.7</v>
      </c>
      <c r="E41" s="487"/>
      <c r="F41" s="487"/>
      <c r="H41" s="871">
        <f>0</f>
        <v>0</v>
      </c>
      <c r="I41" s="477" t="s">
        <v>853</v>
      </c>
    </row>
    <row r="42" spans="1:9" x14ac:dyDescent="0.2">
      <c r="A42" s="389"/>
      <c r="B42" s="488"/>
      <c r="C42" s="490" t="s">
        <v>252</v>
      </c>
      <c r="D42" s="487">
        <v>6248356.2000000002</v>
      </c>
      <c r="E42" s="487"/>
      <c r="F42" s="487"/>
    </row>
    <row r="43" spans="1:9" x14ac:dyDescent="0.2">
      <c r="A43" s="389"/>
      <c r="B43" s="488"/>
      <c r="C43" s="490" t="s">
        <v>253</v>
      </c>
      <c r="D43" s="487">
        <v>0</v>
      </c>
      <c r="E43" s="487"/>
      <c r="F43" s="487"/>
    </row>
    <row r="44" spans="1:9" x14ac:dyDescent="0.2">
      <c r="A44" s="389"/>
      <c r="B44" s="488"/>
      <c r="C44" s="490" t="s">
        <v>114</v>
      </c>
      <c r="D44" s="487">
        <v>12581.53</v>
      </c>
      <c r="E44" s="487"/>
      <c r="F44" s="487"/>
    </row>
    <row r="45" spans="1:9" x14ac:dyDescent="0.2">
      <c r="A45" s="389"/>
      <c r="B45" s="520" t="s">
        <v>651</v>
      </c>
      <c r="C45" s="491"/>
      <c r="D45" s="487">
        <v>0</v>
      </c>
      <c r="E45" s="518">
        <f>D45</f>
        <v>0</v>
      </c>
      <c r="F45" s="487"/>
      <c r="G45" s="477">
        <v>4007</v>
      </c>
    </row>
    <row r="46" spans="1:9" x14ac:dyDescent="0.2">
      <c r="A46" s="389"/>
      <c r="B46" s="968" t="s">
        <v>254</v>
      </c>
      <c r="C46" s="969"/>
      <c r="D46" s="505">
        <v>393461</v>
      </c>
      <c r="E46" s="521">
        <f>SUM(D46)</f>
        <v>393461</v>
      </c>
      <c r="F46" s="495"/>
      <c r="G46" s="477">
        <v>5002</v>
      </c>
    </row>
    <row r="47" spans="1:9" x14ac:dyDescent="0.2">
      <c r="A47" s="389"/>
      <c r="B47" s="493" t="s">
        <v>660</v>
      </c>
      <c r="C47" s="494"/>
      <c r="D47" s="487"/>
      <c r="E47" s="490">
        <v>0</v>
      </c>
      <c r="F47" s="495"/>
      <c r="G47" s="477" t="s">
        <v>689</v>
      </c>
    </row>
    <row r="48" spans="1:9" x14ac:dyDescent="0.2">
      <c r="A48" s="389"/>
      <c r="B48" s="493" t="s">
        <v>855</v>
      </c>
      <c r="C48" s="494"/>
      <c r="D48" s="487"/>
      <c r="E48" s="490">
        <v>-991251.26</v>
      </c>
      <c r="F48" s="495"/>
    </row>
    <row r="49" spans="1:10" x14ac:dyDescent="0.2">
      <c r="A49" s="389"/>
      <c r="B49" s="970" t="s">
        <v>661</v>
      </c>
      <c r="C49" s="971"/>
      <c r="D49" s="487"/>
      <c r="E49" s="565">
        <v>-205848</v>
      </c>
      <c r="F49" s="518"/>
      <c r="G49" s="654" t="s">
        <v>744</v>
      </c>
      <c r="H49" s="511"/>
    </row>
    <row r="50" spans="1:10" x14ac:dyDescent="0.2">
      <c r="A50" s="389"/>
      <c r="B50" s="970" t="s">
        <v>662</v>
      </c>
      <c r="C50" s="971"/>
      <c r="D50" s="487"/>
      <c r="E50" s="490">
        <f>-52400-199375</f>
        <v>-251775</v>
      </c>
      <c r="F50" s="518"/>
      <c r="G50" s="654" t="s">
        <v>854</v>
      </c>
      <c r="H50" s="506"/>
    </row>
    <row r="51" spans="1:10" x14ac:dyDescent="0.2">
      <c r="A51" s="389"/>
      <c r="B51" s="970" t="s">
        <v>663</v>
      </c>
      <c r="C51" s="971"/>
      <c r="D51" s="487"/>
      <c r="E51" s="490">
        <v>0</v>
      </c>
      <c r="F51" s="518"/>
      <c r="G51" s="654">
        <v>5301</v>
      </c>
      <c r="H51" s="506">
        <f>F53</f>
        <v>87046449.899999991</v>
      </c>
    </row>
    <row r="52" spans="1:10" ht="20.25" customHeight="1" x14ac:dyDescent="0.2">
      <c r="A52" s="389"/>
      <c r="B52" s="488" t="s">
        <v>804</v>
      </c>
      <c r="C52" s="523"/>
      <c r="D52" s="487"/>
      <c r="E52" s="490">
        <f>0-54273.13</f>
        <v>-54273.13</v>
      </c>
      <c r="F52" s="518"/>
      <c r="H52" s="894">
        <f>251775+991251.26+205848+54273.13</f>
        <v>1503147.39</v>
      </c>
      <c r="I52" s="477" t="s">
        <v>715</v>
      </c>
    </row>
    <row r="53" spans="1:10" ht="13.5" thickBot="1" x14ac:dyDescent="0.25">
      <c r="A53" s="389"/>
      <c r="B53" s="547"/>
      <c r="C53" s="510"/>
      <c r="D53" s="503"/>
      <c r="E53" s="548"/>
      <c r="F53" s="891">
        <f>SUM(E34:E53)-H41</f>
        <v>87046449.899999991</v>
      </c>
      <c r="H53" s="507">
        <f>F53+H52+H41</f>
        <v>88549597.289999992</v>
      </c>
      <c r="I53" s="477" t="s">
        <v>741</v>
      </c>
      <c r="J53" s="549"/>
    </row>
    <row r="54" spans="1:10" x14ac:dyDescent="0.2">
      <c r="A54" s="550" t="s">
        <v>366</v>
      </c>
      <c r="B54" s="964" t="s">
        <v>213</v>
      </c>
      <c r="C54" s="965"/>
      <c r="D54" s="551"/>
      <c r="E54" s="545">
        <f>231804.6+131239.87+340.2</f>
        <v>363384.67</v>
      </c>
      <c r="F54" s="546"/>
      <c r="H54" s="489"/>
    </row>
    <row r="55" spans="1:10" x14ac:dyDescent="0.2">
      <c r="A55" s="552" t="s">
        <v>405</v>
      </c>
      <c r="B55" s="535" t="s">
        <v>615</v>
      </c>
      <c r="C55" s="536"/>
      <c r="D55" s="509"/>
      <c r="E55" s="485">
        <f>48028.88+11866.88</f>
        <v>59895.759999999995</v>
      </c>
      <c r="F55" s="485"/>
      <c r="H55" s="549"/>
      <c r="J55" s="489"/>
    </row>
    <row r="56" spans="1:10" x14ac:dyDescent="0.2">
      <c r="A56" s="389"/>
      <c r="B56" s="514" t="s">
        <v>440</v>
      </c>
      <c r="C56" s="486"/>
      <c r="D56" s="487">
        <v>786442.3</v>
      </c>
      <c r="E56" s="518">
        <f>D56</f>
        <v>786442.3</v>
      </c>
      <c r="F56" s="487"/>
      <c r="G56" s="477">
        <v>3000</v>
      </c>
    </row>
    <row r="57" spans="1:10" x14ac:dyDescent="0.2">
      <c r="A57" s="389"/>
      <c r="B57" s="519" t="s">
        <v>248</v>
      </c>
      <c r="C57" s="519"/>
      <c r="D57" s="487">
        <v>19048.080000000002</v>
      </c>
      <c r="E57" s="518">
        <f>D57</f>
        <v>19048.080000000002</v>
      </c>
      <c r="F57" s="487"/>
    </row>
    <row r="58" spans="1:10" x14ac:dyDescent="0.2">
      <c r="A58" s="389"/>
      <c r="B58" s="520" t="s">
        <v>345</v>
      </c>
      <c r="C58" s="491"/>
      <c r="D58" s="487"/>
      <c r="E58" s="518">
        <f>SUM(D59:D64)</f>
        <v>159507.62</v>
      </c>
      <c r="F58" s="487"/>
    </row>
    <row r="59" spans="1:10" x14ac:dyDescent="0.2">
      <c r="A59" s="389"/>
      <c r="B59" s="488"/>
      <c r="C59" s="490" t="s">
        <v>249</v>
      </c>
      <c r="D59" s="487">
        <v>96918.78</v>
      </c>
      <c r="E59" s="487"/>
      <c r="F59" s="487"/>
    </row>
    <row r="60" spans="1:10" x14ac:dyDescent="0.2">
      <c r="A60" s="389"/>
      <c r="B60" s="488"/>
      <c r="C60" s="490" t="s">
        <v>250</v>
      </c>
      <c r="D60" s="487">
        <v>0</v>
      </c>
      <c r="E60" s="487"/>
      <c r="F60" s="487"/>
      <c r="G60" s="477">
        <v>4001</v>
      </c>
    </row>
    <row r="61" spans="1:10" x14ac:dyDescent="0.2">
      <c r="A61" s="389"/>
      <c r="B61" s="488"/>
      <c r="C61" s="490" t="s">
        <v>251</v>
      </c>
      <c r="D61" s="487">
        <v>9465.6299999999992</v>
      </c>
      <c r="E61" s="487"/>
      <c r="F61" s="487"/>
    </row>
    <row r="62" spans="1:10" ht="12" customHeight="1" x14ac:dyDescent="0.2">
      <c r="A62" s="389"/>
      <c r="B62" s="488"/>
      <c r="C62" s="490" t="s">
        <v>252</v>
      </c>
      <c r="D62" s="487">
        <v>0</v>
      </c>
      <c r="E62" s="487"/>
      <c r="F62" s="487"/>
      <c r="G62" s="477">
        <v>4004</v>
      </c>
    </row>
    <row r="63" spans="1:10" ht="12" customHeight="1" x14ac:dyDescent="0.2">
      <c r="A63" s="389"/>
      <c r="B63" s="488"/>
      <c r="C63" s="490" t="s">
        <v>253</v>
      </c>
      <c r="D63" s="487">
        <v>0</v>
      </c>
      <c r="E63" s="487"/>
      <c r="F63" s="487"/>
      <c r="G63" s="477">
        <v>4004</v>
      </c>
    </row>
    <row r="64" spans="1:10" ht="12" customHeight="1" x14ac:dyDescent="0.2">
      <c r="A64" s="389"/>
      <c r="B64" s="488"/>
      <c r="C64" s="490" t="s">
        <v>114</v>
      </c>
      <c r="D64" s="487">
        <v>53123.21</v>
      </c>
      <c r="E64" s="487"/>
      <c r="F64" s="487"/>
    </row>
    <row r="65" spans="1:9" x14ac:dyDescent="0.2">
      <c r="A65" s="389"/>
      <c r="B65" s="520" t="s">
        <v>651</v>
      </c>
      <c r="C65" s="491"/>
      <c r="D65" s="487">
        <v>0</v>
      </c>
      <c r="E65" s="518">
        <f>D65</f>
        <v>0</v>
      </c>
      <c r="F65" s="487"/>
      <c r="G65" s="477">
        <v>4007</v>
      </c>
    </row>
    <row r="66" spans="1:9" x14ac:dyDescent="0.2">
      <c r="A66" s="389"/>
      <c r="B66" s="538" t="s">
        <v>254</v>
      </c>
      <c r="C66" s="494"/>
      <c r="D66" s="487">
        <v>6490</v>
      </c>
      <c r="E66" s="521">
        <f>SUM(D66)</f>
        <v>6490</v>
      </c>
      <c r="F66" s="495"/>
    </row>
    <row r="67" spans="1:9" x14ac:dyDescent="0.2">
      <c r="A67" s="389"/>
      <c r="B67" s="493" t="s">
        <v>858</v>
      </c>
      <c r="C67" s="494"/>
      <c r="D67" s="487"/>
      <c r="E67" s="566">
        <v>-29015.360000000001</v>
      </c>
      <c r="F67" s="495"/>
    </row>
    <row r="68" spans="1:9" x14ac:dyDescent="0.2">
      <c r="A68" s="389"/>
      <c r="B68" s="970" t="s">
        <v>664</v>
      </c>
      <c r="C68" s="971"/>
      <c r="D68" s="505"/>
      <c r="E68" s="566">
        <v>0</v>
      </c>
      <c r="F68" s="495"/>
      <c r="H68" s="511">
        <v>0</v>
      </c>
      <c r="I68" s="477" t="s">
        <v>856</v>
      </c>
    </row>
    <row r="69" spans="1:9" x14ac:dyDescent="0.2">
      <c r="A69" s="389"/>
      <c r="B69" s="970" t="s">
        <v>805</v>
      </c>
      <c r="C69" s="971"/>
      <c r="D69" s="505"/>
      <c r="E69" s="566">
        <v>0</v>
      </c>
      <c r="F69" s="495"/>
      <c r="H69" s="511">
        <v>0</v>
      </c>
      <c r="I69" s="477" t="s">
        <v>857</v>
      </c>
    </row>
    <row r="70" spans="1:9" x14ac:dyDescent="0.2">
      <c r="A70" s="389"/>
      <c r="B70" s="970" t="s">
        <v>665</v>
      </c>
      <c r="C70" s="971"/>
      <c r="D70" s="487"/>
      <c r="E70" s="566">
        <v>0</v>
      </c>
      <c r="F70" s="518"/>
      <c r="G70" s="477">
        <v>70200</v>
      </c>
      <c r="H70" s="895">
        <v>29015.360000000001</v>
      </c>
      <c r="I70" s="477" t="s">
        <v>859</v>
      </c>
    </row>
    <row r="71" spans="1:9" ht="13.5" thickBot="1" x14ac:dyDescent="0.25">
      <c r="A71" s="389"/>
      <c r="B71" s="975"/>
      <c r="C71" s="976"/>
      <c r="D71" s="553"/>
      <c r="E71" s="555"/>
      <c r="F71" s="891">
        <f>SUM(E54:E71)</f>
        <v>1365753.07</v>
      </c>
      <c r="G71" s="477">
        <v>70200</v>
      </c>
      <c r="H71" s="622">
        <f>F71+H70+H69</f>
        <v>1394768.4300000002</v>
      </c>
      <c r="I71" s="477" t="s">
        <v>745</v>
      </c>
    </row>
    <row r="72" spans="1:9" ht="13.15" customHeight="1" x14ac:dyDescent="0.2">
      <c r="A72" s="554" t="s">
        <v>666</v>
      </c>
      <c r="B72" s="964" t="s">
        <v>213</v>
      </c>
      <c r="C72" s="965"/>
      <c r="D72" s="551"/>
      <c r="E72" s="551">
        <f>951992.5+558237.41+1573.96</f>
        <v>1511803.87</v>
      </c>
      <c r="F72" s="546"/>
      <c r="H72" s="549"/>
    </row>
    <row r="73" spans="1:9" x14ac:dyDescent="0.2">
      <c r="A73" s="492"/>
      <c r="B73" s="535" t="s">
        <v>615</v>
      </c>
      <c r="C73" s="536"/>
      <c r="D73" s="509"/>
      <c r="E73" s="485">
        <v>50226.54</v>
      </c>
      <c r="F73" s="485"/>
      <c r="H73" s="489"/>
    </row>
    <row r="74" spans="1:9" x14ac:dyDescent="0.2">
      <c r="A74" s="389"/>
      <c r="B74" s="514" t="s">
        <v>440</v>
      </c>
      <c r="C74" s="486"/>
      <c r="D74" s="487">
        <v>208011.68</v>
      </c>
      <c r="E74" s="518">
        <f>D74</f>
        <v>208011.68</v>
      </c>
      <c r="F74" s="487"/>
      <c r="H74" s="489"/>
    </row>
    <row r="75" spans="1:9" x14ac:dyDescent="0.2">
      <c r="A75" s="389"/>
      <c r="B75" s="519" t="s">
        <v>248</v>
      </c>
      <c r="C75" s="519"/>
      <c r="D75" s="487">
        <v>1626131.47</v>
      </c>
      <c r="E75" s="518">
        <f>D75</f>
        <v>1626131.47</v>
      </c>
      <c r="F75" s="518"/>
      <c r="H75" s="511"/>
    </row>
    <row r="76" spans="1:9" x14ac:dyDescent="0.2">
      <c r="A76" s="389"/>
      <c r="B76" s="520" t="s">
        <v>345</v>
      </c>
      <c r="C76" s="491"/>
      <c r="D76" s="487"/>
      <c r="E76" s="518">
        <f>SUM(D77:D80)</f>
        <v>21281.149999999998</v>
      </c>
      <c r="F76" s="487"/>
    </row>
    <row r="77" spans="1:9" x14ac:dyDescent="0.2">
      <c r="A77" s="552"/>
      <c r="B77" s="488"/>
      <c r="C77" s="486" t="s">
        <v>249</v>
      </c>
      <c r="D77" s="487">
        <v>20172.62</v>
      </c>
      <c r="E77" s="487"/>
      <c r="F77" s="487"/>
      <c r="G77" s="477">
        <v>4000</v>
      </c>
    </row>
    <row r="78" spans="1:9" x14ac:dyDescent="0.2">
      <c r="A78" s="389"/>
      <c r="B78" s="488"/>
      <c r="C78" s="486" t="s">
        <v>251</v>
      </c>
      <c r="D78" s="487">
        <v>1108.53</v>
      </c>
      <c r="E78" s="487"/>
      <c r="F78" s="487"/>
      <c r="G78" s="477">
        <v>4002</v>
      </c>
    </row>
    <row r="79" spans="1:9" x14ac:dyDescent="0.2">
      <c r="A79" s="389"/>
      <c r="B79" s="488"/>
      <c r="C79" s="486" t="s">
        <v>253</v>
      </c>
      <c r="D79" s="487">
        <v>0</v>
      </c>
      <c r="E79" s="487"/>
      <c r="F79" s="487"/>
      <c r="G79" s="477">
        <v>4002</v>
      </c>
    </row>
    <row r="80" spans="1:9" x14ac:dyDescent="0.2">
      <c r="A80" s="389"/>
      <c r="B80" s="488"/>
      <c r="C80" s="567" t="s">
        <v>114</v>
      </c>
      <c r="D80" s="487">
        <v>0</v>
      </c>
      <c r="E80" s="487"/>
      <c r="F80" s="487"/>
      <c r="G80" s="477">
        <v>4005</v>
      </c>
    </row>
    <row r="81" spans="1:8" x14ac:dyDescent="0.2">
      <c r="A81" s="389"/>
      <c r="B81" s="538" t="s">
        <v>254</v>
      </c>
      <c r="C81" s="494"/>
      <c r="D81" s="487">
        <v>0</v>
      </c>
      <c r="E81" s="521">
        <f>SUM(D81)</f>
        <v>0</v>
      </c>
      <c r="F81" s="487"/>
    </row>
    <row r="82" spans="1:8" ht="13.5" thickBot="1" x14ac:dyDescent="0.25">
      <c r="A82" s="492"/>
      <c r="B82" s="497"/>
      <c r="C82" s="498"/>
      <c r="D82" s="499"/>
      <c r="E82" s="500"/>
      <c r="F82" s="891">
        <f>SUM(E72:E81)</f>
        <v>3417454.71</v>
      </c>
      <c r="H82" s="501">
        <f>F82-3417454.71</f>
        <v>0</v>
      </c>
    </row>
    <row r="83" spans="1:8" ht="13.15" customHeight="1" x14ac:dyDescent="0.2">
      <c r="A83" s="550" t="s">
        <v>258</v>
      </c>
      <c r="B83" s="964" t="s">
        <v>213</v>
      </c>
      <c r="C83" s="965"/>
      <c r="D83" s="551"/>
      <c r="E83" s="551">
        <f>658890.52+395353.71+1958.98</f>
        <v>1056203.21</v>
      </c>
      <c r="F83" s="546"/>
      <c r="H83" s="549"/>
    </row>
    <row r="84" spans="1:8" x14ac:dyDescent="0.2">
      <c r="A84" s="492"/>
      <c r="B84" s="535" t="s">
        <v>49</v>
      </c>
      <c r="C84" s="536"/>
      <c r="D84" s="509">
        <v>997</v>
      </c>
      <c r="E84" s="600">
        <f>D84</f>
        <v>997</v>
      </c>
      <c r="F84" s="485"/>
    </row>
    <row r="85" spans="1:8" x14ac:dyDescent="0.2">
      <c r="A85" s="389"/>
      <c r="B85" s="514" t="s">
        <v>440</v>
      </c>
      <c r="C85" s="486"/>
      <c r="D85" s="487">
        <v>12073.36</v>
      </c>
      <c r="E85" s="518">
        <f>D85</f>
        <v>12073.36</v>
      </c>
      <c r="F85" s="487"/>
    </row>
    <row r="86" spans="1:8" x14ac:dyDescent="0.2">
      <c r="A86" s="389"/>
      <c r="B86" s="519" t="s">
        <v>248</v>
      </c>
      <c r="C86" s="519"/>
      <c r="D86" s="487">
        <v>41317.14</v>
      </c>
      <c r="E86" s="518">
        <f>D86</f>
        <v>41317.14</v>
      </c>
      <c r="F86" s="518"/>
      <c r="H86" s="511"/>
    </row>
    <row r="87" spans="1:8" x14ac:dyDescent="0.2">
      <c r="A87" s="389"/>
      <c r="B87" s="520" t="s">
        <v>345</v>
      </c>
      <c r="C87" s="491"/>
      <c r="D87" s="487"/>
      <c r="E87" s="518">
        <f>SUM(D88:D92)</f>
        <v>15313.57</v>
      </c>
      <c r="F87" s="487"/>
    </row>
    <row r="88" spans="1:8" x14ac:dyDescent="0.2">
      <c r="A88" s="552"/>
      <c r="B88" s="488"/>
      <c r="C88" s="486" t="s">
        <v>249</v>
      </c>
      <c r="D88" s="487">
        <v>12979.57</v>
      </c>
      <c r="E88" s="487"/>
      <c r="F88" s="487"/>
      <c r="G88" s="477">
        <v>4000</v>
      </c>
    </row>
    <row r="89" spans="1:8" x14ac:dyDescent="0.2">
      <c r="A89" s="389"/>
      <c r="B89" s="488"/>
      <c r="C89" s="486" t="s">
        <v>251</v>
      </c>
      <c r="D89" s="487">
        <v>264</v>
      </c>
      <c r="E89" s="487"/>
      <c r="F89" s="487"/>
      <c r="G89" s="477">
        <v>4002</v>
      </c>
    </row>
    <row r="90" spans="1:8" x14ac:dyDescent="0.2">
      <c r="A90" s="389"/>
      <c r="B90" s="493"/>
      <c r="C90" s="567" t="s">
        <v>526</v>
      </c>
      <c r="D90" s="487">
        <v>0</v>
      </c>
      <c r="E90" s="495"/>
      <c r="F90" s="487"/>
      <c r="G90" s="477">
        <v>4005</v>
      </c>
    </row>
    <row r="91" spans="1:8" x14ac:dyDescent="0.2">
      <c r="A91" s="389"/>
      <c r="B91" s="493"/>
      <c r="C91" s="567" t="s">
        <v>253</v>
      </c>
      <c r="D91" s="487">
        <v>2070</v>
      </c>
      <c r="E91" s="495"/>
      <c r="F91" s="487"/>
      <c r="G91" s="477">
        <v>4004</v>
      </c>
    </row>
    <row r="92" spans="1:8" x14ac:dyDescent="0.2">
      <c r="A92" s="389"/>
      <c r="B92" s="488"/>
      <c r="C92" s="567" t="s">
        <v>114</v>
      </c>
      <c r="D92" s="487">
        <v>0</v>
      </c>
      <c r="E92" s="487"/>
      <c r="F92" s="487"/>
      <c r="G92" s="477">
        <v>4005</v>
      </c>
    </row>
    <row r="93" spans="1:8" x14ac:dyDescent="0.2">
      <c r="A93" s="389"/>
      <c r="B93" s="538" t="s">
        <v>254</v>
      </c>
      <c r="C93" s="494"/>
      <c r="D93" s="487">
        <v>0</v>
      </c>
      <c r="E93" s="521">
        <f>SUM(D93)</f>
        <v>0</v>
      </c>
      <c r="F93" s="487"/>
    </row>
    <row r="94" spans="1:8" ht="13.5" thickBot="1" x14ac:dyDescent="0.25">
      <c r="A94" s="496"/>
      <c r="B94" s="497"/>
      <c r="C94" s="498"/>
      <c r="D94" s="499"/>
      <c r="E94" s="500"/>
      <c r="F94" s="891">
        <f>SUM(E83:E93)</f>
        <v>1125904.28</v>
      </c>
      <c r="H94" s="501">
        <f>F94-1125904.28</f>
        <v>0</v>
      </c>
    </row>
    <row r="95" spans="1:8" ht="13.15" customHeight="1" x14ac:dyDescent="0.2">
      <c r="A95" s="534" t="s">
        <v>54</v>
      </c>
      <c r="B95" s="964" t="s">
        <v>213</v>
      </c>
      <c r="C95" s="965"/>
      <c r="D95" s="551"/>
      <c r="E95" s="545">
        <f>3690502.97+1670327.4+794.82</f>
        <v>5361625.1900000004</v>
      </c>
      <c r="F95" s="546"/>
    </row>
    <row r="96" spans="1:8" x14ac:dyDescent="0.2">
      <c r="A96" s="389"/>
      <c r="B96" s="535" t="s">
        <v>49</v>
      </c>
      <c r="C96" s="536"/>
      <c r="D96" s="509"/>
      <c r="E96" s="485">
        <f>128092.56+70953.55</f>
        <v>199046.11</v>
      </c>
      <c r="F96" s="485"/>
    </row>
    <row r="97" spans="1:9" x14ac:dyDescent="0.2">
      <c r="A97" s="389"/>
      <c r="B97" s="514" t="s">
        <v>440</v>
      </c>
      <c r="C97" s="486"/>
      <c r="D97" s="487">
        <v>931709.19</v>
      </c>
      <c r="E97" s="518">
        <f>D97</f>
        <v>931709.19</v>
      </c>
      <c r="F97" s="487"/>
    </row>
    <row r="98" spans="1:9" x14ac:dyDescent="0.2">
      <c r="A98" s="389"/>
      <c r="B98" s="519" t="s">
        <v>248</v>
      </c>
      <c r="C98" s="486"/>
      <c r="D98" s="487">
        <v>248465.07</v>
      </c>
      <c r="E98" s="518">
        <f>D98</f>
        <v>248465.07</v>
      </c>
      <c r="F98" s="487"/>
    </row>
    <row r="99" spans="1:9" x14ac:dyDescent="0.2">
      <c r="A99" s="389"/>
      <c r="B99" s="520" t="s">
        <v>345</v>
      </c>
      <c r="C99" s="486"/>
      <c r="D99" s="487"/>
      <c r="E99" s="518">
        <f>SUM(D100:D104)</f>
        <v>106404.04999999999</v>
      </c>
      <c r="F99" s="487"/>
    </row>
    <row r="100" spans="1:9" x14ac:dyDescent="0.2">
      <c r="A100" s="389"/>
      <c r="B100" s="488"/>
      <c r="C100" s="486" t="s">
        <v>249</v>
      </c>
      <c r="D100" s="487">
        <v>46303.57</v>
      </c>
      <c r="E100" s="487"/>
      <c r="F100" s="487"/>
    </row>
    <row r="101" spans="1:9" x14ac:dyDescent="0.2">
      <c r="A101" s="389"/>
      <c r="B101" s="488"/>
      <c r="C101" s="486" t="s">
        <v>251</v>
      </c>
      <c r="D101" s="487">
        <v>4977.57</v>
      </c>
      <c r="E101" s="487"/>
      <c r="F101" s="487"/>
    </row>
    <row r="102" spans="1:9" x14ac:dyDescent="0.2">
      <c r="A102" s="389"/>
      <c r="B102" s="488"/>
      <c r="C102" s="567" t="s">
        <v>526</v>
      </c>
      <c r="D102" s="487">
        <v>3611.17</v>
      </c>
      <c r="E102" s="487"/>
      <c r="F102" s="487"/>
    </row>
    <row r="103" spans="1:9" x14ac:dyDescent="0.2">
      <c r="A103" s="389"/>
      <c r="B103" s="488"/>
      <c r="C103" s="567" t="s">
        <v>253</v>
      </c>
      <c r="D103" s="487">
        <v>51511.74</v>
      </c>
      <c r="E103" s="487"/>
      <c r="F103" s="487"/>
    </row>
    <row r="104" spans="1:9" x14ac:dyDescent="0.2">
      <c r="A104" s="389"/>
      <c r="B104" s="488"/>
      <c r="C104" s="567" t="s">
        <v>114</v>
      </c>
      <c r="D104" s="487">
        <v>0</v>
      </c>
      <c r="E104" s="487"/>
      <c r="F104" s="487"/>
    </row>
    <row r="105" spans="1:9" x14ac:dyDescent="0.2">
      <c r="A105" s="389"/>
      <c r="B105" s="520" t="s">
        <v>651</v>
      </c>
      <c r="C105" s="491"/>
      <c r="D105" s="487">
        <v>0</v>
      </c>
      <c r="E105" s="518">
        <f>D105</f>
        <v>0</v>
      </c>
      <c r="F105" s="487"/>
      <c r="G105" s="477">
        <v>4007</v>
      </c>
    </row>
    <row r="106" spans="1:9" x14ac:dyDescent="0.2">
      <c r="A106" s="389"/>
      <c r="B106" s="538" t="s">
        <v>254</v>
      </c>
      <c r="C106" s="494"/>
      <c r="D106" s="487">
        <v>0</v>
      </c>
      <c r="E106" s="521">
        <f>SUM(D106)</f>
        <v>0</v>
      </c>
      <c r="F106" s="487"/>
      <c r="H106" s="894">
        <v>140000</v>
      </c>
      <c r="I106" s="477" t="s">
        <v>616</v>
      </c>
    </row>
    <row r="107" spans="1:9" ht="13.5" thickBot="1" x14ac:dyDescent="0.25">
      <c r="A107" s="496"/>
      <c r="B107" s="966" t="s">
        <v>667</v>
      </c>
      <c r="C107" s="967"/>
      <c r="D107" s="500"/>
      <c r="E107" s="555">
        <v>-140000</v>
      </c>
      <c r="F107" s="891">
        <f>SUM(E95:E107)</f>
        <v>6707249.6100000003</v>
      </c>
      <c r="H107" s="501">
        <f>F107-6847249.61+H106</f>
        <v>0</v>
      </c>
    </row>
    <row r="108" spans="1:9" ht="13.15" customHeight="1" x14ac:dyDescent="0.2">
      <c r="A108" s="556" t="s">
        <v>259</v>
      </c>
      <c r="B108" s="964" t="s">
        <v>213</v>
      </c>
      <c r="C108" s="965"/>
      <c r="D108" s="551"/>
      <c r="E108" s="508">
        <v>0</v>
      </c>
      <c r="F108" s="546"/>
      <c r="G108" s="477">
        <v>1000</v>
      </c>
    </row>
    <row r="109" spans="1:9" x14ac:dyDescent="0.2">
      <c r="A109" s="389"/>
      <c r="B109" s="535" t="s">
        <v>49</v>
      </c>
      <c r="C109" s="536"/>
      <c r="D109" s="509"/>
      <c r="E109" s="485">
        <v>608399.23</v>
      </c>
      <c r="F109" s="485"/>
      <c r="G109" s="477">
        <v>2000</v>
      </c>
    </row>
    <row r="110" spans="1:9" x14ac:dyDescent="0.2">
      <c r="A110" s="389"/>
      <c r="B110" s="514" t="s">
        <v>440</v>
      </c>
      <c r="C110" s="486"/>
      <c r="D110" s="487">
        <v>21712.66</v>
      </c>
      <c r="E110" s="487">
        <f>D110</f>
        <v>21712.66</v>
      </c>
      <c r="F110" s="487"/>
      <c r="G110" s="477">
        <v>3000</v>
      </c>
    </row>
    <row r="111" spans="1:9" x14ac:dyDescent="0.2">
      <c r="A111" s="389"/>
      <c r="B111" s="519" t="s">
        <v>248</v>
      </c>
      <c r="C111" s="519"/>
      <c r="D111" s="487">
        <v>0</v>
      </c>
      <c r="E111" s="518">
        <f>SUM(D111)</f>
        <v>0</v>
      </c>
      <c r="F111" s="487"/>
    </row>
    <row r="112" spans="1:9" x14ac:dyDescent="0.2">
      <c r="A112" s="492"/>
      <c r="B112" s="538" t="s">
        <v>254</v>
      </c>
      <c r="C112" s="568"/>
      <c r="D112" s="487">
        <v>0</v>
      </c>
      <c r="E112" s="521">
        <f>D112</f>
        <v>0</v>
      </c>
      <c r="F112" s="487"/>
    </row>
    <row r="113" spans="1:8" ht="13.5" thickBot="1" x14ac:dyDescent="0.25">
      <c r="A113" s="496"/>
      <c r="B113" s="497"/>
      <c r="C113" s="498"/>
      <c r="D113" s="499"/>
      <c r="E113" s="500"/>
      <c r="F113" s="891">
        <f>SUM(E109:E113)</f>
        <v>630111.89</v>
      </c>
      <c r="H113" s="501">
        <f>F113-630111.89</f>
        <v>0</v>
      </c>
    </row>
    <row r="114" spans="1:8" ht="13.15" customHeight="1" x14ac:dyDescent="0.2">
      <c r="A114" s="556" t="s">
        <v>618</v>
      </c>
      <c r="B114" s="964" t="s">
        <v>213</v>
      </c>
      <c r="C114" s="965"/>
      <c r="D114" s="551"/>
      <c r="E114" s="508">
        <f>6026686.54+3782488.99+14043.81</f>
        <v>9823219.3400000017</v>
      </c>
      <c r="F114" s="546"/>
      <c r="G114" s="477">
        <v>1000</v>
      </c>
    </row>
    <row r="115" spans="1:8" x14ac:dyDescent="0.2">
      <c r="A115" s="389"/>
      <c r="B115" s="535" t="s">
        <v>49</v>
      </c>
      <c r="C115" s="536"/>
      <c r="D115" s="509">
        <f>54965+3370+24.76</f>
        <v>58359.76</v>
      </c>
      <c r="E115" s="600">
        <f>D115</f>
        <v>58359.76</v>
      </c>
      <c r="F115" s="485"/>
      <c r="G115" s="477">
        <v>2000</v>
      </c>
    </row>
    <row r="116" spans="1:8" x14ac:dyDescent="0.2">
      <c r="A116" s="389"/>
      <c r="B116" s="514" t="s">
        <v>440</v>
      </c>
      <c r="C116" s="486"/>
      <c r="D116" s="487">
        <v>3490481.68</v>
      </c>
      <c r="E116" s="518">
        <f>D116</f>
        <v>3490481.68</v>
      </c>
      <c r="F116" s="487"/>
      <c r="G116" s="477">
        <v>3000</v>
      </c>
    </row>
    <row r="117" spans="1:8" x14ac:dyDescent="0.2">
      <c r="A117" s="389"/>
      <c r="B117" s="519" t="s">
        <v>248</v>
      </c>
      <c r="C117" s="519"/>
      <c r="D117" s="487">
        <v>654864.42000000004</v>
      </c>
      <c r="E117" s="518">
        <f>SUM(D117)</f>
        <v>654864.42000000004</v>
      </c>
      <c r="F117" s="487"/>
    </row>
    <row r="118" spans="1:8" x14ac:dyDescent="0.2">
      <c r="A118" s="492"/>
      <c r="B118" s="568" t="s">
        <v>345</v>
      </c>
      <c r="C118" s="568"/>
      <c r="D118" s="487"/>
      <c r="E118" s="518">
        <f>SUM(D119:D123)</f>
        <v>238276.08000000002</v>
      </c>
      <c r="F118" s="487"/>
    </row>
    <row r="119" spans="1:8" x14ac:dyDescent="0.2">
      <c r="A119" s="492"/>
      <c r="B119" s="488"/>
      <c r="C119" s="486" t="s">
        <v>249</v>
      </c>
      <c r="D119" s="487">
        <v>144309.42000000001</v>
      </c>
      <c r="E119" s="521"/>
      <c r="F119" s="487"/>
    </row>
    <row r="120" spans="1:8" x14ac:dyDescent="0.2">
      <c r="A120" s="492"/>
      <c r="B120" s="488"/>
      <c r="C120" s="486" t="s">
        <v>251</v>
      </c>
      <c r="D120" s="487">
        <v>10744.1</v>
      </c>
      <c r="E120" s="521"/>
      <c r="F120" s="487"/>
    </row>
    <row r="121" spans="1:8" x14ac:dyDescent="0.2">
      <c r="A121" s="492"/>
      <c r="B121" s="488"/>
      <c r="C121" s="567" t="s">
        <v>526</v>
      </c>
      <c r="D121" s="487">
        <v>38906.03</v>
      </c>
      <c r="E121" s="521"/>
      <c r="F121" s="487"/>
    </row>
    <row r="122" spans="1:8" x14ac:dyDescent="0.2">
      <c r="A122" s="492"/>
      <c r="B122" s="488"/>
      <c r="C122" s="567" t="s">
        <v>253</v>
      </c>
      <c r="D122" s="487">
        <v>43707.46</v>
      </c>
      <c r="E122" s="521"/>
      <c r="F122" s="487"/>
    </row>
    <row r="123" spans="1:8" x14ac:dyDescent="0.2">
      <c r="A123" s="492"/>
      <c r="B123" s="488"/>
      <c r="C123" s="567" t="s">
        <v>114</v>
      </c>
      <c r="D123" s="487">
        <v>609.07000000000005</v>
      </c>
      <c r="E123" s="521"/>
      <c r="F123" s="487"/>
    </row>
    <row r="124" spans="1:8" x14ac:dyDescent="0.2">
      <c r="A124" s="389"/>
      <c r="B124" s="520" t="s">
        <v>651</v>
      </c>
      <c r="C124" s="491"/>
      <c r="D124" s="487">
        <v>0</v>
      </c>
      <c r="E124" s="518">
        <f>D124</f>
        <v>0</v>
      </c>
      <c r="F124" s="487"/>
      <c r="G124" s="477">
        <v>4007</v>
      </c>
    </row>
    <row r="125" spans="1:8" x14ac:dyDescent="0.2">
      <c r="A125" s="492"/>
      <c r="B125" s="538" t="s">
        <v>254</v>
      </c>
      <c r="C125" s="568"/>
      <c r="D125" s="487">
        <v>0</v>
      </c>
      <c r="E125" s="521">
        <f>D125</f>
        <v>0</v>
      </c>
      <c r="F125" s="487"/>
      <c r="H125" s="430"/>
    </row>
    <row r="126" spans="1:8" ht="13.5" thickBot="1" x14ac:dyDescent="0.25">
      <c r="A126" s="496"/>
      <c r="B126" s="497"/>
      <c r="C126" s="498"/>
      <c r="D126" s="499"/>
      <c r="E126" s="500"/>
      <c r="F126" s="891">
        <f>SUM(E114:E126)*0</f>
        <v>0</v>
      </c>
      <c r="H126" s="772">
        <f>F126-14265202.16</f>
        <v>-14265202.16</v>
      </c>
    </row>
    <row r="127" spans="1:8" ht="13.9" customHeight="1" x14ac:dyDescent="0.2">
      <c r="A127" s="556" t="s">
        <v>528</v>
      </c>
      <c r="B127" s="964" t="s">
        <v>213</v>
      </c>
      <c r="C127" s="965"/>
      <c r="D127" s="551"/>
      <c r="E127" s="508">
        <f>68565.18+48860.42</f>
        <v>117425.59999999999</v>
      </c>
      <c r="F127" s="546"/>
    </row>
    <row r="128" spans="1:8" ht="12.75" customHeight="1" x14ac:dyDescent="0.2">
      <c r="A128" s="552" t="s">
        <v>527</v>
      </c>
      <c r="B128" s="535" t="s">
        <v>49</v>
      </c>
      <c r="C128" s="486"/>
      <c r="D128" s="487"/>
      <c r="E128" s="518">
        <f>3113.19+2925.66</f>
        <v>6038.85</v>
      </c>
      <c r="F128" s="487"/>
    </row>
    <row r="129" spans="1:9" ht="12.75" customHeight="1" x14ac:dyDescent="0.2">
      <c r="A129" s="389"/>
      <c r="B129" s="514" t="s">
        <v>440</v>
      </c>
      <c r="C129" s="519"/>
      <c r="D129" s="487"/>
      <c r="E129" s="518">
        <v>590651.06999999995</v>
      </c>
      <c r="F129" s="487"/>
      <c r="H129" s="489"/>
    </row>
    <row r="130" spans="1:9" ht="12.75" customHeight="1" x14ac:dyDescent="0.2">
      <c r="A130" s="389"/>
      <c r="B130" s="519" t="s">
        <v>248</v>
      </c>
      <c r="C130" s="494"/>
      <c r="D130" s="487">
        <v>294123.52000000002</v>
      </c>
      <c r="E130" s="521">
        <f>D130</f>
        <v>294123.52000000002</v>
      </c>
      <c r="F130" s="495"/>
    </row>
    <row r="131" spans="1:9" x14ac:dyDescent="0.2">
      <c r="A131" s="492"/>
      <c r="B131" s="568" t="s">
        <v>345</v>
      </c>
      <c r="C131" s="568"/>
      <c r="D131" s="487"/>
      <c r="E131" s="518">
        <f>SUM(D132:D136)</f>
        <v>300856.12</v>
      </c>
      <c r="F131" s="487"/>
    </row>
    <row r="132" spans="1:9" x14ac:dyDescent="0.2">
      <c r="A132" s="492"/>
      <c r="B132" s="488"/>
      <c r="C132" s="486" t="s">
        <v>249</v>
      </c>
      <c r="D132" s="487">
        <v>153716.21</v>
      </c>
      <c r="E132" s="521"/>
      <c r="F132" s="487"/>
    </row>
    <row r="133" spans="1:9" x14ac:dyDescent="0.2">
      <c r="A133" s="492"/>
      <c r="B133" s="488"/>
      <c r="C133" s="486" t="s">
        <v>251</v>
      </c>
      <c r="D133" s="487">
        <v>86643.19</v>
      </c>
      <c r="E133" s="521"/>
      <c r="F133" s="487"/>
    </row>
    <row r="134" spans="1:9" x14ac:dyDescent="0.2">
      <c r="A134" s="492"/>
      <c r="B134" s="488"/>
      <c r="C134" s="567" t="s">
        <v>526</v>
      </c>
      <c r="D134" s="487">
        <v>1453.48</v>
      </c>
      <c r="E134" s="521"/>
      <c r="F134" s="487"/>
    </row>
    <row r="135" spans="1:9" x14ac:dyDescent="0.2">
      <c r="A135" s="492"/>
      <c r="B135" s="488"/>
      <c r="C135" s="567" t="s">
        <v>253</v>
      </c>
      <c r="D135" s="487">
        <v>0</v>
      </c>
      <c r="E135" s="521"/>
      <c r="F135" s="487"/>
    </row>
    <row r="136" spans="1:9" x14ac:dyDescent="0.2">
      <c r="A136" s="492"/>
      <c r="B136" s="488"/>
      <c r="C136" s="567" t="s">
        <v>114</v>
      </c>
      <c r="D136" s="487">
        <v>59043.24</v>
      </c>
      <c r="E136" s="521"/>
      <c r="F136" s="487"/>
    </row>
    <row r="137" spans="1:9" ht="12.75" customHeight="1" x14ac:dyDescent="0.2">
      <c r="A137" s="504"/>
      <c r="B137" s="538" t="s">
        <v>254</v>
      </c>
      <c r="C137" s="494"/>
      <c r="D137" s="495">
        <v>0</v>
      </c>
      <c r="E137" s="521">
        <f>D137</f>
        <v>0</v>
      </c>
      <c r="F137" s="495"/>
      <c r="H137" s="896">
        <f>246202.76+320137.21</f>
        <v>566339.97</v>
      </c>
      <c r="I137" s="430" t="s">
        <v>860</v>
      </c>
    </row>
    <row r="138" spans="1:9" ht="13.5" customHeight="1" thickBot="1" x14ac:dyDescent="0.25">
      <c r="A138" s="496"/>
      <c r="B138" s="966" t="s">
        <v>746</v>
      </c>
      <c r="C138" s="967"/>
      <c r="D138" s="773">
        <v>-566339.97</v>
      </c>
      <c r="E138" s="555">
        <f>D138</f>
        <v>-566339.97</v>
      </c>
      <c r="F138" s="892">
        <f>SUM(E127:E138)</f>
        <v>742755.19</v>
      </c>
      <c r="H138" s="501">
        <f>F138+H137-1309095.16</f>
        <v>0</v>
      </c>
    </row>
    <row r="139" spans="1:9" x14ac:dyDescent="0.2">
      <c r="A139" s="556" t="s">
        <v>300</v>
      </c>
      <c r="B139" s="964"/>
      <c r="C139" s="965"/>
      <c r="D139" s="551"/>
      <c r="E139" s="508">
        <v>0</v>
      </c>
      <c r="F139" s="546"/>
    </row>
    <row r="140" spans="1:9" x14ac:dyDescent="0.2">
      <c r="A140" s="389"/>
      <c r="B140" s="537" t="s">
        <v>115</v>
      </c>
      <c r="C140" s="486"/>
      <c r="D140" s="487"/>
      <c r="E140" s="518">
        <f>SUM(D141:D145)</f>
        <v>0</v>
      </c>
      <c r="F140" s="487"/>
    </row>
    <row r="141" spans="1:9" x14ac:dyDescent="0.2">
      <c r="A141" s="552"/>
      <c r="B141" s="488"/>
      <c r="C141" s="486" t="s">
        <v>243</v>
      </c>
      <c r="D141" s="487"/>
      <c r="E141" s="487"/>
      <c r="F141" s="487"/>
    </row>
    <row r="142" spans="1:9" x14ac:dyDescent="0.2">
      <c r="A142" s="552"/>
      <c r="B142" s="488"/>
      <c r="C142" s="486" t="s">
        <v>50</v>
      </c>
      <c r="D142" s="487">
        <v>0</v>
      </c>
      <c r="E142" s="487"/>
      <c r="F142" s="487"/>
    </row>
    <row r="143" spans="1:9" ht="12.75" customHeight="1" x14ac:dyDescent="0.2">
      <c r="A143" s="389"/>
      <c r="B143" s="488"/>
      <c r="C143" s="486" t="s">
        <v>246</v>
      </c>
      <c r="D143" s="487">
        <v>0</v>
      </c>
      <c r="E143" s="487"/>
      <c r="F143" s="487"/>
    </row>
    <row r="144" spans="1:9" ht="12.75" customHeight="1" x14ac:dyDescent="0.2">
      <c r="A144" s="389"/>
      <c r="B144" s="488"/>
      <c r="C144" s="486" t="s">
        <v>247</v>
      </c>
      <c r="D144" s="487">
        <v>0</v>
      </c>
      <c r="E144" s="487"/>
      <c r="F144" s="487"/>
    </row>
    <row r="145" spans="1:9" x14ac:dyDescent="0.2">
      <c r="A145" s="389"/>
      <c r="B145" s="488"/>
      <c r="C145" s="486" t="s">
        <v>346</v>
      </c>
      <c r="D145" s="487">
        <v>0</v>
      </c>
      <c r="E145" s="487"/>
      <c r="F145" s="487"/>
      <c r="H145" s="506"/>
    </row>
    <row r="146" spans="1:9" ht="13.5" thickBot="1" x14ac:dyDescent="0.25">
      <c r="A146" s="496"/>
      <c r="B146" s="497"/>
      <c r="C146" s="498"/>
      <c r="D146" s="499"/>
      <c r="E146" s="500"/>
      <c r="F146" s="892">
        <f>SUM(E140:E146)</f>
        <v>0</v>
      </c>
      <c r="H146" s="489">
        <f>H32+H52+H70+H106+H69+H137</f>
        <v>2241385.3200000003</v>
      </c>
      <c r="I146" s="430" t="s">
        <v>806</v>
      </c>
    </row>
    <row r="147" spans="1:9" ht="13.5" thickBot="1" x14ac:dyDescent="0.25">
      <c r="A147" s="557" t="s">
        <v>532</v>
      </c>
      <c r="B147" s="558"/>
      <c r="E147" s="620" t="s">
        <v>669</v>
      </c>
      <c r="F147" s="511">
        <f>-'Sched-C'!$D$24</f>
        <v>-31053517.050000001</v>
      </c>
      <c r="H147" s="569">
        <f>F146+F138+F113+F107+F94+F82+F71+F53+F33+F17+F126</f>
        <v>102629657.42999999</v>
      </c>
      <c r="I147" s="477" t="s">
        <v>533</v>
      </c>
    </row>
    <row r="148" spans="1:9" s="465" customFormat="1" ht="21.75" customHeight="1" thickBot="1" x14ac:dyDescent="0.25">
      <c r="A148" s="559"/>
      <c r="B148" s="560" t="s">
        <v>6</v>
      </c>
      <c r="C148" s="561"/>
      <c r="D148" s="562"/>
      <c r="E148" s="563"/>
      <c r="F148" s="564">
        <f>SUM(F3:F147)</f>
        <v>71576140.37999998</v>
      </c>
      <c r="H148" s="703">
        <f>SUM(H146:H147)</f>
        <v>104871042.75</v>
      </c>
      <c r="I148" s="465" t="s">
        <v>668</v>
      </c>
    </row>
    <row r="149" spans="1:9" ht="13.5" thickTop="1" x14ac:dyDescent="0.2">
      <c r="F149" s="489"/>
      <c r="H149" s="570">
        <f>119136244.91-14265202.16</f>
        <v>104871042.75</v>
      </c>
      <c r="I149" s="477" t="s">
        <v>861</v>
      </c>
    </row>
    <row r="150" spans="1:9" x14ac:dyDescent="0.2">
      <c r="A150" s="571" t="s">
        <v>862</v>
      </c>
      <c r="H150" s="704">
        <f>H148-H149</f>
        <v>0</v>
      </c>
      <c r="I150" s="571" t="s">
        <v>531</v>
      </c>
    </row>
    <row r="151" spans="1:9" x14ac:dyDescent="0.2">
      <c r="H151" s="489"/>
    </row>
    <row r="152" spans="1:9" x14ac:dyDescent="0.2">
      <c r="H152" s="430"/>
    </row>
    <row r="153" spans="1:9" hidden="1" x14ac:dyDescent="0.2">
      <c r="A153" s="430" t="s">
        <v>709</v>
      </c>
      <c r="H153" s="624"/>
      <c r="I153" s="430"/>
    </row>
    <row r="154" spans="1:9" hidden="1" x14ac:dyDescent="0.2">
      <c r="A154" s="655" t="s">
        <v>707</v>
      </c>
    </row>
    <row r="155" spans="1:9" hidden="1" x14ac:dyDescent="0.2">
      <c r="A155" s="477" t="s">
        <v>733</v>
      </c>
      <c r="H155" s="727"/>
    </row>
    <row r="157" spans="1:9" x14ac:dyDescent="0.2">
      <c r="H157" s="549"/>
    </row>
  </sheetData>
  <dataConsolidate/>
  <mergeCells count="25">
    <mergeCell ref="A1:F1"/>
    <mergeCell ref="D2:E2"/>
    <mergeCell ref="B71:C71"/>
    <mergeCell ref="B18:C18"/>
    <mergeCell ref="B34:C34"/>
    <mergeCell ref="B54:C54"/>
    <mergeCell ref="B2:C2"/>
    <mergeCell ref="B3:C3"/>
    <mergeCell ref="B68:C68"/>
    <mergeCell ref="B69:C69"/>
    <mergeCell ref="B31:C31"/>
    <mergeCell ref="B83:C83"/>
    <mergeCell ref="B139:C139"/>
    <mergeCell ref="B72:C72"/>
    <mergeCell ref="B138:C138"/>
    <mergeCell ref="B46:C46"/>
    <mergeCell ref="B95:C95"/>
    <mergeCell ref="B107:C107"/>
    <mergeCell ref="B108:C108"/>
    <mergeCell ref="B127:C127"/>
    <mergeCell ref="B70:C70"/>
    <mergeCell ref="B50:C50"/>
    <mergeCell ref="B49:C49"/>
    <mergeCell ref="B51:C51"/>
    <mergeCell ref="B114:C114"/>
  </mergeCells>
  <phoneticPr fontId="22" type="noConversion"/>
  <printOptions horizontalCentered="1"/>
  <pageMargins left="0" right="0" top="1.25" bottom="1" header="0.33" footer="0.5"/>
  <pageSetup scale="96" fitToHeight="0" orientation="portrait" r:id="rId1"/>
  <headerFooter alignWithMargins="0">
    <oddHeader>&amp;C&amp;"Arial,Bold"&amp;12DEPARTMENT OF CORRECTIONS
 2025 COST OF CARE 
(Based on FY2024 Actuals)</oddHeader>
    <oddFooter>&amp;L&amp;8&amp;F &amp;A&amp;R&amp;8&amp;D &amp;T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sheetPr>
  <dimension ref="A2:E22"/>
  <sheetViews>
    <sheetView showGridLines="0" workbookViewId="0">
      <selection activeCell="A3" sqref="A3"/>
    </sheetView>
  </sheetViews>
  <sheetFormatPr defaultColWidth="9.140625" defaultRowHeight="15.75" x14ac:dyDescent="0.25"/>
  <cols>
    <col min="1" max="1" width="17.42578125" style="106" bestFit="1" customWidth="1"/>
    <col min="2" max="2" width="15.140625" style="106" customWidth="1"/>
    <col min="3" max="3" width="21.42578125" style="106" customWidth="1"/>
    <col min="4" max="4" width="31" style="106" customWidth="1"/>
    <col min="5" max="16384" width="9.140625" style="106"/>
  </cols>
  <sheetData>
    <row r="2" spans="1:5" ht="30" customHeight="1" x14ac:dyDescent="0.25">
      <c r="A2" s="251" t="s">
        <v>265</v>
      </c>
      <c r="B2" s="252" t="s">
        <v>535</v>
      </c>
      <c r="C2" s="253" t="s">
        <v>748</v>
      </c>
      <c r="D2" s="253" t="s">
        <v>782</v>
      </c>
    </row>
    <row r="3" spans="1:5" x14ac:dyDescent="0.25">
      <c r="A3" s="705" t="s">
        <v>266</v>
      </c>
      <c r="B3" s="706" t="s">
        <v>536</v>
      </c>
      <c r="C3" s="774">
        <f>-257037.53</f>
        <v>-257037.53</v>
      </c>
      <c r="D3" s="707">
        <f>1667869.39+C3</f>
        <v>1410831.8599999999</v>
      </c>
    </row>
    <row r="4" spans="1:5" x14ac:dyDescent="0.25">
      <c r="A4" s="708" t="s">
        <v>268</v>
      </c>
      <c r="B4" s="709" t="s">
        <v>537</v>
      </c>
      <c r="C4" s="775">
        <f>-425096.25</f>
        <v>-425096.25</v>
      </c>
      <c r="D4" s="711">
        <f>5412179.29+C4</f>
        <v>4987083.04</v>
      </c>
    </row>
    <row r="5" spans="1:5" x14ac:dyDescent="0.25">
      <c r="A5" s="708" t="s">
        <v>269</v>
      </c>
      <c r="B5" s="709" t="s">
        <v>538</v>
      </c>
      <c r="C5" s="710">
        <v>0</v>
      </c>
      <c r="D5" s="711">
        <v>2419220.0499999998</v>
      </c>
    </row>
    <row r="6" spans="1:5" x14ac:dyDescent="0.25">
      <c r="A6" s="708" t="s">
        <v>271</v>
      </c>
      <c r="B6" s="709" t="s">
        <v>539</v>
      </c>
      <c r="C6" s="710">
        <v>0</v>
      </c>
      <c r="D6" s="711">
        <v>1209062.74</v>
      </c>
    </row>
    <row r="7" spans="1:5" x14ac:dyDescent="0.25">
      <c r="A7" s="708" t="s">
        <v>743</v>
      </c>
      <c r="B7" s="709" t="s">
        <v>747</v>
      </c>
      <c r="C7" s="710">
        <v>0</v>
      </c>
      <c r="D7" s="711">
        <v>1129975.2</v>
      </c>
    </row>
    <row r="8" spans="1:5" x14ac:dyDescent="0.25">
      <c r="A8" s="708" t="s">
        <v>270</v>
      </c>
      <c r="B8" s="709" t="s">
        <v>540</v>
      </c>
      <c r="C8" s="710">
        <v>0</v>
      </c>
      <c r="D8" s="711">
        <v>289900</v>
      </c>
    </row>
    <row r="9" spans="1:5" x14ac:dyDescent="0.25">
      <c r="A9" s="708" t="s">
        <v>267</v>
      </c>
      <c r="B9" s="709" t="s">
        <v>541</v>
      </c>
      <c r="C9" s="710">
        <v>0</v>
      </c>
      <c r="D9" s="711">
        <v>1633476.63</v>
      </c>
    </row>
    <row r="10" spans="1:5" x14ac:dyDescent="0.25">
      <c r="A10" s="712" t="s">
        <v>64</v>
      </c>
      <c r="B10" s="713" t="s">
        <v>542</v>
      </c>
      <c r="C10" s="714">
        <v>0</v>
      </c>
      <c r="D10" s="715">
        <v>1958064.13</v>
      </c>
    </row>
    <row r="11" spans="1:5" s="141" customFormat="1" ht="19.5" customHeight="1" x14ac:dyDescent="0.25">
      <c r="B11" s="250" t="s">
        <v>26</v>
      </c>
      <c r="C11" s="722">
        <f>SUM(C3:C10)</f>
        <v>-682133.78</v>
      </c>
      <c r="D11" s="656">
        <f>SUM(D3:D10)</f>
        <v>15037613.649999999</v>
      </c>
    </row>
    <row r="13" spans="1:5" s="101" customFormat="1" ht="12.75" x14ac:dyDescent="0.2">
      <c r="C13" s="776" t="s">
        <v>749</v>
      </c>
      <c r="D13" s="777">
        <v>15719747.43</v>
      </c>
    </row>
    <row r="14" spans="1:5" s="101" customFormat="1" ht="12.75" x14ac:dyDescent="0.2">
      <c r="C14" s="776" t="s">
        <v>783</v>
      </c>
      <c r="D14" s="777">
        <f>425096.25+257037.53</f>
        <v>682133.78</v>
      </c>
    </row>
    <row r="15" spans="1:5" x14ac:dyDescent="0.25">
      <c r="A15" s="776"/>
      <c r="B15" s="776"/>
      <c r="C15" s="776"/>
      <c r="D15" s="779">
        <f>D11+D14</f>
        <v>15719747.429999998</v>
      </c>
      <c r="E15" s="776"/>
    </row>
    <row r="16" spans="1:5" x14ac:dyDescent="0.25">
      <c r="A16" s="776"/>
      <c r="B16" s="776"/>
      <c r="C16" s="776"/>
      <c r="D16" s="897">
        <f>D13-D15</f>
        <v>0</v>
      </c>
      <c r="E16" s="778" t="s">
        <v>531</v>
      </c>
    </row>
    <row r="17" spans="1:1" x14ac:dyDescent="0.25">
      <c r="A17" s="236" t="s">
        <v>866</v>
      </c>
    </row>
    <row r="19" spans="1:1" x14ac:dyDescent="0.25">
      <c r="A19" s="141" t="s">
        <v>685</v>
      </c>
    </row>
    <row r="20" spans="1:1" x14ac:dyDescent="0.25">
      <c r="A20" s="141" t="s">
        <v>750</v>
      </c>
    </row>
    <row r="21" spans="1:1" x14ac:dyDescent="0.25">
      <c r="A21" s="141" t="s">
        <v>865</v>
      </c>
    </row>
    <row r="22" spans="1:1" x14ac:dyDescent="0.25">
      <c r="A22" s="141" t="s">
        <v>863</v>
      </c>
    </row>
  </sheetData>
  <phoneticPr fontId="0" type="noConversion"/>
  <printOptions horizontalCentered="1"/>
  <pageMargins left="0.25" right="0.25" top="1.5" bottom="1" header="0.33" footer="0.5"/>
  <pageSetup orientation="portrait" r:id="rId1"/>
  <headerFooter alignWithMargins="0">
    <oddHeader>&amp;C&amp;"Arial,Bold"&amp;12DEPARTMENT OF CORRECTIONS
 2025 COST OF CARE 
(Based on FY2024 Actuals)</oddHeader>
    <oddFooter>&amp;L&amp;8&amp;F &amp;A&amp;R&amp;8&amp;D &amp;T</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59999389629810485"/>
  </sheetPr>
  <dimension ref="A1:E14"/>
  <sheetViews>
    <sheetView showGridLines="0" workbookViewId="0">
      <selection activeCell="E4" sqref="E4"/>
    </sheetView>
  </sheetViews>
  <sheetFormatPr defaultColWidth="9.140625" defaultRowHeight="12.75" x14ac:dyDescent="0.2"/>
  <cols>
    <col min="1" max="1" width="31" style="101" customWidth="1"/>
    <col min="2" max="2" width="12" style="101" customWidth="1"/>
    <col min="3" max="3" width="18.140625" style="101" customWidth="1"/>
    <col min="4" max="4" width="19.140625" style="101" bestFit="1" customWidth="1"/>
    <col min="5" max="5" width="22.140625" style="101" bestFit="1" customWidth="1"/>
    <col min="6" max="16384" width="9.140625" style="101"/>
  </cols>
  <sheetData>
    <row r="1" spans="1:5" ht="52.5" customHeight="1" thickBot="1" x14ac:dyDescent="0.25">
      <c r="A1" s="983" t="s">
        <v>116</v>
      </c>
      <c r="B1" s="983"/>
      <c r="C1" s="983"/>
      <c r="D1" s="983"/>
      <c r="E1" s="983"/>
    </row>
    <row r="2" spans="1:5" ht="48" thickBot="1" x14ac:dyDescent="0.25">
      <c r="A2" s="238" t="s">
        <v>106</v>
      </c>
      <c r="B2" s="252" t="s">
        <v>535</v>
      </c>
      <c r="C2" s="239" t="s">
        <v>138</v>
      </c>
      <c r="D2" s="239" t="s">
        <v>105</v>
      </c>
      <c r="E2" s="239" t="s">
        <v>107</v>
      </c>
    </row>
    <row r="3" spans="1:5" ht="63.75" customHeight="1" thickTop="1" thickBot="1" x14ac:dyDescent="0.25">
      <c r="A3" s="240" t="s">
        <v>574</v>
      </c>
      <c r="B3" s="241" t="s">
        <v>740</v>
      </c>
      <c r="C3" s="242">
        <f>'Summary-Sched-E'!D11</f>
        <v>15037613.649999999</v>
      </c>
      <c r="D3" s="243">
        <f>'COST ALLOCATION'!H6</f>
        <v>0.84060778483451171</v>
      </c>
      <c r="E3" s="244">
        <f>C3*D3</f>
        <v>12640735.099523716</v>
      </c>
    </row>
    <row r="4" spans="1:5" s="249" customFormat="1" ht="36" customHeight="1" thickBot="1" x14ac:dyDescent="0.35">
      <c r="A4" s="245" t="s">
        <v>47</v>
      </c>
      <c r="B4" s="246"/>
      <c r="C4" s="247"/>
      <c r="D4" s="248"/>
      <c r="E4" s="898">
        <f>E3</f>
        <v>12640735.099523716</v>
      </c>
    </row>
    <row r="5" spans="1:5" s="249" customFormat="1" ht="36" customHeight="1" thickTop="1" x14ac:dyDescent="0.3">
      <c r="A5" s="578"/>
      <c r="B5" s="578"/>
      <c r="C5" s="579" t="s">
        <v>799</v>
      </c>
      <c r="D5" s="580"/>
      <c r="E5" s="582"/>
    </row>
    <row r="6" spans="1:5" s="249" customFormat="1" ht="36" customHeight="1" x14ac:dyDescent="0.3">
      <c r="A6" s="581" t="s">
        <v>742</v>
      </c>
      <c r="B6" s="578"/>
      <c r="C6" s="579"/>
      <c r="D6" s="580"/>
      <c r="E6" s="582"/>
    </row>
    <row r="7" spans="1:5" ht="36" customHeight="1" x14ac:dyDescent="0.2">
      <c r="A7" s="236" t="s">
        <v>867</v>
      </c>
      <c r="C7" s="163"/>
    </row>
    <row r="8" spans="1:5" ht="36" customHeight="1" x14ac:dyDescent="0.2"/>
    <row r="9" spans="1:5" ht="36" customHeight="1" x14ac:dyDescent="0.2"/>
    <row r="10" spans="1:5" ht="36" customHeight="1" x14ac:dyDescent="0.2"/>
    <row r="11" spans="1:5" ht="36" customHeight="1" x14ac:dyDescent="0.2"/>
    <row r="12" spans="1:5" ht="48" customHeight="1" x14ac:dyDescent="0.2"/>
    <row r="13" spans="1:5" ht="29.25" customHeight="1" x14ac:dyDescent="0.2"/>
    <row r="14" spans="1:5" ht="34.5" customHeight="1" x14ac:dyDescent="0.2"/>
  </sheetData>
  <mergeCells count="1">
    <mergeCell ref="A1:E1"/>
  </mergeCells>
  <phoneticPr fontId="22" type="noConversion"/>
  <printOptions horizontalCentered="1"/>
  <pageMargins left="0.25" right="0.25" top="0.97" bottom="1" header="0.33" footer="0.5"/>
  <pageSetup orientation="portrait" r:id="rId1"/>
  <headerFooter alignWithMargins="0">
    <oddHeader>&amp;C&amp;"Arial,Bold"&amp;12DEPARTMENT OF CORRECTIONS
 2025 COST OF CARE 
(Based on FY2024 Actuals)</oddHeader>
    <oddFooter>&amp;L&amp;8&amp;F &amp;A&amp;R&amp;8&amp;D &amp;T</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59999389629810485"/>
    <pageSetUpPr fitToPage="1"/>
  </sheetPr>
  <dimension ref="A1:BD74"/>
  <sheetViews>
    <sheetView showGridLines="0" workbookViewId="0">
      <pane ySplit="2" topLeftCell="A3" activePane="bottomLeft" state="frozen"/>
      <selection activeCell="B35" sqref="B35"/>
      <selection pane="bottomLeft" activeCell="A3" sqref="A3"/>
    </sheetView>
  </sheetViews>
  <sheetFormatPr defaultColWidth="9.140625" defaultRowHeight="15.75" x14ac:dyDescent="0.25"/>
  <cols>
    <col min="1" max="1" width="9.85546875" style="106" customWidth="1"/>
    <col min="2" max="2" width="33.7109375" style="106" customWidth="1"/>
    <col min="3" max="3" width="11" style="134" customWidth="1"/>
    <col min="4" max="4" width="17.7109375" style="106" customWidth="1"/>
    <col min="5" max="5" width="12.85546875" style="106" customWidth="1"/>
    <col min="6" max="6" width="15.42578125" style="106" customWidth="1"/>
    <col min="7" max="7" width="17.28515625" style="106" customWidth="1"/>
    <col min="8" max="8" width="14.85546875" style="106" bestFit="1" customWidth="1"/>
    <col min="9" max="16384" width="9.140625" style="106"/>
  </cols>
  <sheetData>
    <row r="1" spans="1:13" s="141" customFormat="1" ht="41.25" customHeight="1" thickBot="1" x14ac:dyDescent="0.3">
      <c r="A1" s="958" t="s">
        <v>117</v>
      </c>
      <c r="B1" s="958"/>
      <c r="C1" s="958"/>
      <c r="D1" s="958"/>
      <c r="E1" s="958"/>
      <c r="F1" s="958"/>
      <c r="G1" s="958"/>
    </row>
    <row r="2" spans="1:13" s="148" customFormat="1" ht="30.75" customHeight="1" thickTop="1" thickBot="1" x14ac:dyDescent="0.25">
      <c r="A2" s="231" t="s">
        <v>608</v>
      </c>
      <c r="B2" s="230" t="s">
        <v>66</v>
      </c>
      <c r="C2" s="231" t="s">
        <v>421</v>
      </c>
      <c r="D2" s="231" t="s">
        <v>868</v>
      </c>
      <c r="E2" s="231" t="s">
        <v>871</v>
      </c>
      <c r="F2" s="231" t="s">
        <v>869</v>
      </c>
      <c r="G2" s="230" t="s">
        <v>6</v>
      </c>
    </row>
    <row r="3" spans="1:13" ht="16.5" thickTop="1" x14ac:dyDescent="0.25">
      <c r="A3" s="161">
        <v>3</v>
      </c>
      <c r="B3" s="102" t="s">
        <v>294</v>
      </c>
      <c r="C3" s="161">
        <v>1000</v>
      </c>
      <c r="D3" s="104">
        <v>65323.32</v>
      </c>
      <c r="E3" s="104"/>
      <c r="F3" s="272">
        <f>9906</f>
        <v>9906</v>
      </c>
      <c r="G3" s="273">
        <f t="shared" ref="G3:G35" si="0">SUM(D3:F3)</f>
        <v>75229.320000000007</v>
      </c>
      <c r="H3" s="145"/>
      <c r="I3" s="145"/>
      <c r="J3" s="145"/>
      <c r="K3" s="145"/>
      <c r="L3" s="145"/>
      <c r="M3" s="145"/>
    </row>
    <row r="4" spans="1:13" x14ac:dyDescent="0.25">
      <c r="A4" s="161"/>
      <c r="B4" s="102" t="s">
        <v>690</v>
      </c>
      <c r="C4" s="161">
        <v>1001</v>
      </c>
      <c r="D4" s="104"/>
      <c r="E4" s="104"/>
      <c r="F4" s="272"/>
      <c r="G4" s="273">
        <f t="shared" si="0"/>
        <v>0</v>
      </c>
      <c r="H4" s="145"/>
      <c r="I4" s="145"/>
      <c r="J4" s="145"/>
      <c r="K4" s="145"/>
      <c r="L4" s="145"/>
      <c r="M4" s="145"/>
    </row>
    <row r="5" spans="1:13" x14ac:dyDescent="0.25">
      <c r="A5" s="161"/>
      <c r="B5" s="102" t="s">
        <v>367</v>
      </c>
      <c r="C5" s="161">
        <v>1100</v>
      </c>
      <c r="D5" s="104">
        <v>1166316.1499999999</v>
      </c>
      <c r="E5" s="104"/>
      <c r="F5" s="272"/>
      <c r="G5" s="273">
        <f t="shared" si="0"/>
        <v>1166316.1499999999</v>
      </c>
      <c r="H5" s="145"/>
      <c r="I5" s="145"/>
      <c r="J5" s="145"/>
      <c r="K5" s="145"/>
      <c r="L5" s="145"/>
      <c r="M5" s="145"/>
    </row>
    <row r="6" spans="1:13" x14ac:dyDescent="0.25">
      <c r="A6" s="161">
        <v>1</v>
      </c>
      <c r="B6" s="102" t="s">
        <v>646</v>
      </c>
      <c r="C6" s="161">
        <v>1100</v>
      </c>
      <c r="D6" s="104">
        <v>0</v>
      </c>
      <c r="E6" s="104"/>
      <c r="F6" s="272">
        <v>6083</v>
      </c>
      <c r="G6" s="273">
        <f t="shared" si="0"/>
        <v>6083</v>
      </c>
      <c r="H6" s="145"/>
      <c r="I6" s="145"/>
      <c r="J6" s="145"/>
      <c r="K6" s="145"/>
      <c r="L6" s="145"/>
      <c r="M6" s="145"/>
    </row>
    <row r="7" spans="1:13" x14ac:dyDescent="0.25">
      <c r="A7" s="161"/>
      <c r="B7" s="102" t="s">
        <v>413</v>
      </c>
      <c r="C7" s="161">
        <v>1200</v>
      </c>
      <c r="D7" s="104">
        <v>474671.18</v>
      </c>
      <c r="E7" s="104"/>
      <c r="F7" s="272">
        <v>806</v>
      </c>
      <c r="G7" s="273">
        <f t="shared" si="0"/>
        <v>475477.18</v>
      </c>
      <c r="H7" s="145"/>
      <c r="I7" s="145"/>
      <c r="J7" s="145"/>
      <c r="K7" s="145"/>
      <c r="L7" s="145"/>
      <c r="M7" s="145"/>
    </row>
    <row r="8" spans="1:13" x14ac:dyDescent="0.25">
      <c r="A8" s="161"/>
      <c r="B8" s="102" t="s">
        <v>256</v>
      </c>
      <c r="C8" s="161">
        <v>1300</v>
      </c>
      <c r="D8" s="104">
        <v>286849.40999999997</v>
      </c>
      <c r="E8" s="104"/>
      <c r="F8" s="272"/>
      <c r="G8" s="273">
        <f t="shared" si="0"/>
        <v>286849.40999999997</v>
      </c>
      <c r="H8" s="145"/>
      <c r="I8" s="145"/>
      <c r="J8" s="145"/>
      <c r="K8" s="145"/>
      <c r="L8" s="145"/>
      <c r="M8" s="145"/>
    </row>
    <row r="9" spans="1:13" x14ac:dyDescent="0.25">
      <c r="A9" s="161"/>
      <c r="B9" s="102" t="s">
        <v>609</v>
      </c>
      <c r="C9" s="161">
        <v>1400</v>
      </c>
      <c r="D9" s="104">
        <v>23843.599999999999</v>
      </c>
      <c r="E9" s="104"/>
      <c r="F9" s="272"/>
      <c r="G9" s="273">
        <f t="shared" si="0"/>
        <v>23843.599999999999</v>
      </c>
      <c r="H9" s="145"/>
      <c r="I9" s="145"/>
      <c r="J9" s="145"/>
      <c r="K9" s="145"/>
      <c r="L9" s="145"/>
      <c r="M9" s="145"/>
    </row>
    <row r="10" spans="1:13" x14ac:dyDescent="0.25">
      <c r="A10" s="161"/>
      <c r="B10" s="102" t="s">
        <v>422</v>
      </c>
      <c r="C10" s="161">
        <v>1500</v>
      </c>
      <c r="D10" s="104">
        <v>21939.64</v>
      </c>
      <c r="E10" s="104"/>
      <c r="F10" s="272"/>
      <c r="G10" s="273">
        <f t="shared" si="0"/>
        <v>21939.64</v>
      </c>
      <c r="H10" s="145"/>
      <c r="I10" s="145"/>
      <c r="J10" s="145"/>
      <c r="K10" s="145"/>
      <c r="L10" s="145"/>
      <c r="M10" s="145"/>
    </row>
    <row r="11" spans="1:13" x14ac:dyDescent="0.25">
      <c r="A11" s="161"/>
      <c r="B11" s="102" t="s">
        <v>712</v>
      </c>
      <c r="C11" s="161">
        <v>1700</v>
      </c>
      <c r="D11" s="104">
        <v>1035.1199999999999</v>
      </c>
      <c r="E11" s="104"/>
      <c r="F11" s="272"/>
      <c r="G11" s="273">
        <f t="shared" ref="G11" si="1">SUM(D11:F11)</f>
        <v>1035.1199999999999</v>
      </c>
      <c r="H11" s="145"/>
      <c r="I11" s="145"/>
      <c r="J11" s="145"/>
      <c r="K11" s="145"/>
      <c r="L11" s="145"/>
      <c r="M11" s="145"/>
    </row>
    <row r="12" spans="1:13" x14ac:dyDescent="0.25">
      <c r="A12" s="161"/>
      <c r="B12" s="102" t="s">
        <v>785</v>
      </c>
      <c r="C12" s="161">
        <v>1800</v>
      </c>
      <c r="D12" s="104">
        <v>7184</v>
      </c>
      <c r="E12" s="104"/>
      <c r="F12" s="272"/>
      <c r="G12" s="273">
        <f t="shared" si="0"/>
        <v>7184</v>
      </c>
      <c r="H12" s="145"/>
      <c r="I12" s="145"/>
      <c r="J12" s="145"/>
      <c r="K12" s="145"/>
      <c r="L12" s="145"/>
      <c r="M12" s="145"/>
    </row>
    <row r="13" spans="1:13" x14ac:dyDescent="0.25">
      <c r="A13" s="161"/>
      <c r="B13" s="102" t="s">
        <v>630</v>
      </c>
      <c r="C13" s="161">
        <v>2000</v>
      </c>
      <c r="D13" s="104">
        <v>30831.27</v>
      </c>
      <c r="E13" s="104"/>
      <c r="F13" s="272">
        <v>7840</v>
      </c>
      <c r="G13" s="273">
        <f t="shared" si="0"/>
        <v>38671.270000000004</v>
      </c>
      <c r="H13" s="145"/>
      <c r="I13" s="145"/>
      <c r="J13" s="145"/>
      <c r="K13" s="145"/>
      <c r="L13" s="145"/>
      <c r="M13" s="145"/>
    </row>
    <row r="14" spans="1:13" x14ac:dyDescent="0.25">
      <c r="A14" s="274" t="s">
        <v>295</v>
      </c>
      <c r="B14" s="102" t="s">
        <v>299</v>
      </c>
      <c r="C14" s="161">
        <v>2100</v>
      </c>
      <c r="D14" s="104">
        <v>1977715.17</v>
      </c>
      <c r="E14" s="104"/>
      <c r="F14" s="272">
        <v>50929</v>
      </c>
      <c r="G14" s="273">
        <f t="shared" si="0"/>
        <v>2028644.17</v>
      </c>
      <c r="H14" s="145"/>
      <c r="I14" s="145"/>
      <c r="J14" s="145"/>
      <c r="K14" s="145"/>
      <c r="L14" s="145"/>
      <c r="M14" s="145"/>
    </row>
    <row r="15" spans="1:13" x14ac:dyDescent="0.25">
      <c r="A15" s="161">
        <v>15</v>
      </c>
      <c r="B15" s="102" t="s">
        <v>496</v>
      </c>
      <c r="C15" s="161">
        <v>2101</v>
      </c>
      <c r="D15" s="104">
        <v>209384.82</v>
      </c>
      <c r="E15" s="104"/>
      <c r="F15" s="272">
        <v>58215</v>
      </c>
      <c r="G15" s="273">
        <f t="shared" si="0"/>
        <v>267599.82</v>
      </c>
      <c r="H15" s="145"/>
      <c r="I15" s="145"/>
      <c r="J15" s="145"/>
      <c r="K15" s="145"/>
      <c r="L15" s="145"/>
      <c r="M15" s="145"/>
    </row>
    <row r="16" spans="1:13" x14ac:dyDescent="0.25">
      <c r="A16" s="161">
        <v>11</v>
      </c>
      <c r="B16" s="102" t="s">
        <v>634</v>
      </c>
      <c r="C16" s="161">
        <v>2102</v>
      </c>
      <c r="D16" s="104">
        <v>451095.71</v>
      </c>
      <c r="E16" s="104"/>
      <c r="F16" s="272">
        <v>109544</v>
      </c>
      <c r="G16" s="273">
        <f t="shared" si="0"/>
        <v>560639.71</v>
      </c>
      <c r="H16" s="145"/>
      <c r="I16" s="145"/>
      <c r="J16" s="145"/>
      <c r="K16" s="145"/>
      <c r="L16" s="145"/>
      <c r="M16" s="145"/>
    </row>
    <row r="17" spans="1:13" x14ac:dyDescent="0.25">
      <c r="A17" s="161">
        <v>14</v>
      </c>
      <c r="B17" s="102" t="s">
        <v>636</v>
      </c>
      <c r="C17" s="161">
        <v>2103</v>
      </c>
      <c r="D17" s="104">
        <v>407507.56</v>
      </c>
      <c r="E17" s="104"/>
      <c r="F17" s="272">
        <v>49741</v>
      </c>
      <c r="G17" s="273">
        <f t="shared" si="0"/>
        <v>457248.56</v>
      </c>
      <c r="H17" s="145"/>
      <c r="I17" s="145"/>
      <c r="J17" s="145"/>
      <c r="K17" s="145"/>
      <c r="L17" s="145"/>
      <c r="M17" s="145"/>
    </row>
    <row r="18" spans="1:13" x14ac:dyDescent="0.25">
      <c r="A18" s="161">
        <v>5</v>
      </c>
      <c r="B18" s="102" t="s">
        <v>637</v>
      </c>
      <c r="C18" s="161">
        <v>2104</v>
      </c>
      <c r="D18" s="104">
        <v>72940.039999999994</v>
      </c>
      <c r="E18" s="104"/>
      <c r="F18" s="272">
        <v>15808</v>
      </c>
      <c r="G18" s="273">
        <f t="shared" si="0"/>
        <v>88748.04</v>
      </c>
      <c r="H18" s="145"/>
      <c r="I18" s="145"/>
      <c r="J18" s="145"/>
      <c r="K18" s="145"/>
      <c r="L18" s="145"/>
      <c r="M18" s="145"/>
    </row>
    <row r="19" spans="1:13" x14ac:dyDescent="0.25">
      <c r="A19" s="161">
        <v>6</v>
      </c>
      <c r="B19" s="102" t="s">
        <v>638</v>
      </c>
      <c r="C19" s="161">
        <v>2105</v>
      </c>
      <c r="D19" s="104">
        <v>737857</v>
      </c>
      <c r="E19" s="104"/>
      <c r="F19" s="272">
        <v>41999</v>
      </c>
      <c r="G19" s="273">
        <f t="shared" si="0"/>
        <v>779856</v>
      </c>
      <c r="H19" s="145"/>
      <c r="I19" s="145"/>
      <c r="J19" s="145"/>
      <c r="K19" s="145"/>
      <c r="L19" s="145"/>
      <c r="M19" s="145"/>
    </row>
    <row r="20" spans="1:13" x14ac:dyDescent="0.25">
      <c r="A20" s="161">
        <v>10</v>
      </c>
      <c r="B20" s="102" t="s">
        <v>635</v>
      </c>
      <c r="C20" s="161">
        <v>2106</v>
      </c>
      <c r="D20" s="104">
        <v>88839.41</v>
      </c>
      <c r="E20" s="104"/>
      <c r="F20" s="272">
        <v>29213</v>
      </c>
      <c r="G20" s="273">
        <f t="shared" si="0"/>
        <v>118052.41</v>
      </c>
      <c r="H20" s="145"/>
      <c r="I20" s="145"/>
      <c r="J20" s="145"/>
      <c r="K20" s="145"/>
      <c r="L20" s="145"/>
      <c r="M20" s="145"/>
    </row>
    <row r="21" spans="1:13" x14ac:dyDescent="0.25">
      <c r="A21" s="161">
        <v>13</v>
      </c>
      <c r="B21" s="102" t="s">
        <v>580</v>
      </c>
      <c r="C21" s="161">
        <v>2107</v>
      </c>
      <c r="D21" s="104">
        <v>1001984.48</v>
      </c>
      <c r="E21" s="104"/>
      <c r="F21" s="272">
        <v>407468</v>
      </c>
      <c r="G21" s="273">
        <f t="shared" si="0"/>
        <v>1409452.48</v>
      </c>
      <c r="H21" s="145"/>
      <c r="I21" s="145"/>
      <c r="J21" s="145"/>
      <c r="K21" s="145"/>
      <c r="L21" s="145"/>
      <c r="M21" s="145"/>
    </row>
    <row r="22" spans="1:13" x14ac:dyDescent="0.25">
      <c r="A22" s="161">
        <v>16</v>
      </c>
      <c r="B22" s="102" t="s">
        <v>632</v>
      </c>
      <c r="C22" s="161">
        <v>2108</v>
      </c>
      <c r="D22" s="104">
        <v>1728615.51</v>
      </c>
      <c r="E22" s="104"/>
      <c r="F22" s="272">
        <v>227551</v>
      </c>
      <c r="G22" s="273">
        <f t="shared" si="0"/>
        <v>1956166.51</v>
      </c>
      <c r="H22" s="145"/>
      <c r="I22" s="145"/>
      <c r="J22" s="145"/>
      <c r="K22" s="145"/>
      <c r="L22" s="145"/>
      <c r="M22" s="145"/>
    </row>
    <row r="23" spans="1:13" x14ac:dyDescent="0.25">
      <c r="A23" s="161">
        <v>30</v>
      </c>
      <c r="B23" s="102" t="s">
        <v>631</v>
      </c>
      <c r="C23" s="161">
        <v>2109</v>
      </c>
      <c r="D23" s="104">
        <v>960543.74</v>
      </c>
      <c r="E23" s="104"/>
      <c r="F23" s="272">
        <v>136361</v>
      </c>
      <c r="G23" s="273">
        <f t="shared" si="0"/>
        <v>1096904.74</v>
      </c>
      <c r="H23" s="145"/>
      <c r="I23" s="145"/>
      <c r="J23" s="145"/>
      <c r="K23" s="145"/>
      <c r="L23" s="145"/>
      <c r="M23" s="145"/>
    </row>
    <row r="24" spans="1:13" x14ac:dyDescent="0.25">
      <c r="A24" s="161">
        <v>18</v>
      </c>
      <c r="B24" s="102" t="s">
        <v>581</v>
      </c>
      <c r="C24" s="161">
        <v>2110</v>
      </c>
      <c r="D24" s="104">
        <v>147684.07999999999</v>
      </c>
      <c r="E24" s="104"/>
      <c r="F24" s="272">
        <v>34084</v>
      </c>
      <c r="G24" s="273">
        <f t="shared" si="0"/>
        <v>181768.08</v>
      </c>
      <c r="H24" s="145"/>
      <c r="I24" s="145"/>
      <c r="J24" s="145"/>
      <c r="K24" s="145"/>
      <c r="L24" s="145"/>
      <c r="M24" s="145"/>
    </row>
    <row r="25" spans="1:13" x14ac:dyDescent="0.25">
      <c r="A25" s="161">
        <v>31</v>
      </c>
      <c r="B25" s="102" t="s">
        <v>639</v>
      </c>
      <c r="C25" s="161">
        <v>2111</v>
      </c>
      <c r="D25" s="104">
        <v>545829.77</v>
      </c>
      <c r="E25" s="104"/>
      <c r="F25" s="272">
        <v>210204</v>
      </c>
      <c r="G25" s="273">
        <f t="shared" si="0"/>
        <v>756033.77</v>
      </c>
      <c r="H25" s="145"/>
      <c r="I25" s="145"/>
      <c r="J25" s="145"/>
      <c r="K25" s="145"/>
      <c r="L25" s="145"/>
      <c r="M25" s="145"/>
    </row>
    <row r="26" spans="1:13" x14ac:dyDescent="0.25">
      <c r="A26" s="161">
        <v>39</v>
      </c>
      <c r="B26" s="102" t="s">
        <v>633</v>
      </c>
      <c r="C26" s="161">
        <v>2112</v>
      </c>
      <c r="D26" s="104">
        <v>1434430.75</v>
      </c>
      <c r="E26" s="104"/>
      <c r="F26" s="272">
        <v>344017</v>
      </c>
      <c r="G26" s="273">
        <f t="shared" si="0"/>
        <v>1778447.75</v>
      </c>
      <c r="H26" s="145"/>
      <c r="I26" s="145"/>
      <c r="J26" s="145"/>
      <c r="K26" s="145"/>
      <c r="L26" s="145"/>
      <c r="M26" s="145"/>
    </row>
    <row r="27" spans="1:13" x14ac:dyDescent="0.25">
      <c r="A27" s="435"/>
      <c r="B27" s="102" t="s">
        <v>258</v>
      </c>
      <c r="C27" s="161">
        <v>2200</v>
      </c>
      <c r="D27" s="104">
        <v>4249.26</v>
      </c>
      <c r="E27" s="104"/>
      <c r="F27" s="272">
        <v>10884</v>
      </c>
      <c r="G27" s="273">
        <f t="shared" si="0"/>
        <v>15133.26</v>
      </c>
      <c r="H27" s="145"/>
      <c r="I27" s="145"/>
      <c r="J27" s="145"/>
      <c r="K27" s="145"/>
      <c r="L27" s="145"/>
      <c r="M27" s="145"/>
    </row>
    <row r="28" spans="1:13" x14ac:dyDescent="0.25">
      <c r="A28" s="161">
        <v>7</v>
      </c>
      <c r="B28" s="102" t="s">
        <v>640</v>
      </c>
      <c r="C28" s="161">
        <v>2210</v>
      </c>
      <c r="D28" s="104">
        <v>34631.54</v>
      </c>
      <c r="E28" s="104"/>
      <c r="F28" s="272">
        <v>93216</v>
      </c>
      <c r="G28" s="273">
        <f t="shared" si="0"/>
        <v>127847.54000000001</v>
      </c>
      <c r="H28" s="145"/>
      <c r="I28" s="145"/>
      <c r="J28" s="145"/>
      <c r="K28" s="145"/>
      <c r="L28" s="145"/>
      <c r="M28" s="145"/>
    </row>
    <row r="29" spans="1:13" x14ac:dyDescent="0.25">
      <c r="A29" s="161">
        <v>37</v>
      </c>
      <c r="B29" s="102" t="s">
        <v>62</v>
      </c>
      <c r="C29" s="161">
        <v>2220</v>
      </c>
      <c r="D29" s="104">
        <v>31189</v>
      </c>
      <c r="E29" s="104"/>
      <c r="F29" s="272"/>
      <c r="G29" s="273">
        <f t="shared" si="0"/>
        <v>31189</v>
      </c>
      <c r="H29" s="145"/>
      <c r="I29" s="145"/>
      <c r="J29" s="145"/>
      <c r="K29" s="145"/>
      <c r="L29" s="145"/>
      <c r="M29" s="145"/>
    </row>
    <row r="30" spans="1:13" x14ac:dyDescent="0.25">
      <c r="A30" s="161"/>
      <c r="B30" s="102" t="s">
        <v>264</v>
      </c>
      <c r="C30" s="161">
        <v>2230</v>
      </c>
      <c r="D30" s="104">
        <v>5450</v>
      </c>
      <c r="E30" s="104"/>
      <c r="F30" s="272"/>
      <c r="G30" s="273">
        <f t="shared" si="0"/>
        <v>5450</v>
      </c>
      <c r="H30" s="145"/>
      <c r="I30" s="145"/>
      <c r="J30" s="145"/>
      <c r="K30" s="145"/>
      <c r="L30" s="145"/>
      <c r="M30" s="145"/>
    </row>
    <row r="31" spans="1:13" x14ac:dyDescent="0.25">
      <c r="A31" s="161"/>
      <c r="B31" s="102" t="s">
        <v>293</v>
      </c>
      <c r="C31" s="161" t="s">
        <v>786</v>
      </c>
      <c r="D31" s="104">
        <f>76344.79+1111449.74</f>
        <v>1187794.53</v>
      </c>
      <c r="E31" s="104"/>
      <c r="F31" s="272">
        <v>4615</v>
      </c>
      <c r="G31" s="273">
        <f t="shared" si="0"/>
        <v>1192409.53</v>
      </c>
      <c r="H31" s="145"/>
      <c r="I31" s="145"/>
      <c r="J31" s="145"/>
      <c r="K31" s="145"/>
      <c r="L31" s="145"/>
      <c r="M31" s="145"/>
    </row>
    <row r="32" spans="1:13" x14ac:dyDescent="0.25">
      <c r="A32" s="161">
        <v>4</v>
      </c>
      <c r="B32" s="102" t="s">
        <v>784</v>
      </c>
      <c r="C32" s="161">
        <v>2260</v>
      </c>
      <c r="D32" s="104">
        <v>281081.55</v>
      </c>
      <c r="E32" s="104"/>
      <c r="F32" s="272">
        <f>4712+27357</f>
        <v>32069</v>
      </c>
      <c r="G32" s="273">
        <f t="shared" si="0"/>
        <v>313150.55</v>
      </c>
      <c r="H32" s="145"/>
      <c r="I32" s="145"/>
      <c r="J32" s="145"/>
      <c r="K32" s="145"/>
      <c r="L32" s="145"/>
      <c r="M32" s="145"/>
    </row>
    <row r="33" spans="1:13" x14ac:dyDescent="0.25">
      <c r="A33" s="161"/>
      <c r="B33" s="102" t="s">
        <v>641</v>
      </c>
      <c r="C33" s="161" t="s">
        <v>787</v>
      </c>
      <c r="D33" s="104">
        <f>10757.04+91378.2</f>
        <v>102135.23999999999</v>
      </c>
      <c r="E33" s="104"/>
      <c r="F33" s="272">
        <v>2812</v>
      </c>
      <c r="G33" s="273">
        <f t="shared" si="0"/>
        <v>104947.23999999999</v>
      </c>
      <c r="H33" s="145"/>
      <c r="I33" s="145"/>
      <c r="J33" s="145"/>
      <c r="K33" s="145"/>
      <c r="L33" s="145"/>
      <c r="M33" s="145"/>
    </row>
    <row r="34" spans="1:13" x14ac:dyDescent="0.25">
      <c r="A34" s="161"/>
      <c r="B34" s="102" t="s">
        <v>361</v>
      </c>
      <c r="C34" s="161">
        <v>2310</v>
      </c>
      <c r="D34" s="104">
        <v>0</v>
      </c>
      <c r="E34" s="104"/>
      <c r="F34" s="272">
        <v>308</v>
      </c>
      <c r="G34" s="273">
        <f t="shared" si="0"/>
        <v>308</v>
      </c>
      <c r="H34" s="145"/>
      <c r="I34" s="145"/>
      <c r="J34" s="145"/>
      <c r="K34" s="145"/>
      <c r="L34" s="145"/>
      <c r="M34" s="145"/>
    </row>
    <row r="35" spans="1:13" x14ac:dyDescent="0.25">
      <c r="A35" s="161"/>
      <c r="B35" s="102" t="s">
        <v>713</v>
      </c>
      <c r="C35" s="161">
        <v>2355</v>
      </c>
      <c r="D35" s="104">
        <v>3021.16</v>
      </c>
      <c r="E35" s="104"/>
      <c r="F35" s="272"/>
      <c r="G35" s="273">
        <f t="shared" si="0"/>
        <v>3021.16</v>
      </c>
      <c r="H35" s="145"/>
      <c r="I35" s="145"/>
      <c r="J35" s="145"/>
      <c r="K35" s="145"/>
      <c r="L35" s="145"/>
      <c r="M35" s="145"/>
    </row>
    <row r="36" spans="1:13" x14ac:dyDescent="0.25">
      <c r="A36" s="161"/>
      <c r="B36" s="102" t="s">
        <v>642</v>
      </c>
      <c r="C36" s="161">
        <v>2400</v>
      </c>
      <c r="D36" s="104">
        <v>13071.41</v>
      </c>
      <c r="E36" s="104"/>
      <c r="F36" s="272"/>
      <c r="G36" s="273">
        <f t="shared" ref="G36:G66" si="2">SUM(D36:F36)</f>
        <v>13071.41</v>
      </c>
      <c r="H36" s="145"/>
      <c r="I36" s="145"/>
      <c r="J36" s="145"/>
      <c r="K36" s="145"/>
      <c r="L36" s="145"/>
      <c r="M36" s="145"/>
    </row>
    <row r="37" spans="1:13" x14ac:dyDescent="0.25">
      <c r="A37" s="161"/>
      <c r="B37" s="102" t="s">
        <v>126</v>
      </c>
      <c r="C37" s="161" t="s">
        <v>788</v>
      </c>
      <c r="D37" s="104">
        <f>4888.62+12572</f>
        <v>17460.62</v>
      </c>
      <c r="E37" s="104"/>
      <c r="F37" s="272">
        <v>23801</v>
      </c>
      <c r="G37" s="273">
        <f t="shared" si="2"/>
        <v>41261.619999999995</v>
      </c>
      <c r="H37" s="145"/>
      <c r="I37" s="145"/>
      <c r="J37" s="145"/>
      <c r="K37" s="145"/>
      <c r="L37" s="145"/>
      <c r="M37" s="145"/>
    </row>
    <row r="38" spans="1:13" x14ac:dyDescent="0.25">
      <c r="A38" s="161" t="s">
        <v>808</v>
      </c>
      <c r="B38" s="102" t="s">
        <v>423</v>
      </c>
      <c r="C38" s="161">
        <v>2420</v>
      </c>
      <c r="D38" s="104">
        <v>26670.53</v>
      </c>
      <c r="E38" s="104"/>
      <c r="F38" s="272"/>
      <c r="G38" s="273">
        <f t="shared" si="2"/>
        <v>26670.53</v>
      </c>
      <c r="H38" s="145"/>
      <c r="I38" s="145"/>
      <c r="J38" s="145"/>
      <c r="K38" s="145"/>
      <c r="L38" s="145"/>
      <c r="M38" s="145"/>
    </row>
    <row r="39" spans="1:13" x14ac:dyDescent="0.25">
      <c r="A39" s="161" t="s">
        <v>78</v>
      </c>
      <c r="B39" s="102" t="s">
        <v>79</v>
      </c>
      <c r="C39" s="161">
        <v>2421</v>
      </c>
      <c r="D39" s="104">
        <v>464674.06</v>
      </c>
      <c r="E39" s="104"/>
      <c r="F39" s="272">
        <v>47424</v>
      </c>
      <c r="G39" s="273">
        <f t="shared" si="2"/>
        <v>512098.06</v>
      </c>
      <c r="H39" s="145"/>
      <c r="I39" s="145"/>
      <c r="J39" s="145"/>
      <c r="K39" s="145"/>
      <c r="L39" s="145"/>
      <c r="M39" s="145"/>
    </row>
    <row r="40" spans="1:13" x14ac:dyDescent="0.25">
      <c r="A40" s="161" t="s">
        <v>350</v>
      </c>
      <c r="B40" s="102" t="s">
        <v>81</v>
      </c>
      <c r="C40" s="161">
        <v>2422</v>
      </c>
      <c r="D40" s="104">
        <v>43219.13</v>
      </c>
      <c r="E40" s="104"/>
      <c r="F40" s="272">
        <v>14029</v>
      </c>
      <c r="G40" s="273">
        <f t="shared" si="2"/>
        <v>57248.13</v>
      </c>
      <c r="H40" s="145"/>
      <c r="I40" s="145"/>
      <c r="J40" s="145"/>
      <c r="K40" s="145"/>
      <c r="L40" s="145"/>
      <c r="M40" s="145"/>
    </row>
    <row r="41" spans="1:13" x14ac:dyDescent="0.25">
      <c r="A41" s="161" t="s">
        <v>349</v>
      </c>
      <c r="B41" s="102" t="s">
        <v>80</v>
      </c>
      <c r="C41" s="161">
        <v>2423</v>
      </c>
      <c r="D41" s="104">
        <v>7835.18</v>
      </c>
      <c r="E41" s="104"/>
      <c r="F41" s="272">
        <v>6109</v>
      </c>
      <c r="G41" s="273">
        <f t="shared" si="2"/>
        <v>13944.18</v>
      </c>
      <c r="H41" s="145"/>
      <c r="I41" s="145"/>
      <c r="J41" s="145"/>
      <c r="K41" s="145"/>
      <c r="L41" s="145"/>
      <c r="M41" s="145"/>
    </row>
    <row r="42" spans="1:13" x14ac:dyDescent="0.25">
      <c r="A42" s="161" t="s">
        <v>351</v>
      </c>
      <c r="B42" s="102" t="s">
        <v>260</v>
      </c>
      <c r="C42" s="161">
        <v>2424</v>
      </c>
      <c r="D42" s="104">
        <v>55229</v>
      </c>
      <c r="E42" s="104"/>
      <c r="F42" s="272">
        <f>27637</f>
        <v>27637</v>
      </c>
      <c r="G42" s="273">
        <f t="shared" si="2"/>
        <v>82866</v>
      </c>
      <c r="H42" s="145"/>
      <c r="I42" s="145"/>
      <c r="J42" s="145"/>
      <c r="K42" s="145"/>
      <c r="L42" s="145"/>
      <c r="M42" s="145"/>
    </row>
    <row r="43" spans="1:13" x14ac:dyDescent="0.25">
      <c r="A43" s="161" t="s">
        <v>352</v>
      </c>
      <c r="B43" s="102" t="s">
        <v>82</v>
      </c>
      <c r="C43" s="161">
        <v>2425</v>
      </c>
      <c r="D43" s="104">
        <v>29766</v>
      </c>
      <c r="E43" s="104"/>
      <c r="F43" s="272">
        <v>8889</v>
      </c>
      <c r="G43" s="273">
        <f t="shared" si="2"/>
        <v>38655</v>
      </c>
      <c r="H43" s="145"/>
      <c r="I43" s="145"/>
      <c r="J43" s="145"/>
      <c r="K43" s="145"/>
      <c r="L43" s="145"/>
      <c r="M43" s="145"/>
    </row>
    <row r="44" spans="1:13" x14ac:dyDescent="0.25">
      <c r="A44" s="161" t="s">
        <v>296</v>
      </c>
      <c r="B44" s="102" t="s">
        <v>87</v>
      </c>
      <c r="C44" s="161">
        <v>2426</v>
      </c>
      <c r="D44" s="104">
        <v>36109</v>
      </c>
      <c r="E44" s="104"/>
      <c r="F44" s="272">
        <v>9385</v>
      </c>
      <c r="G44" s="273">
        <f t="shared" si="2"/>
        <v>45494</v>
      </c>
      <c r="H44" s="145"/>
      <c r="I44" s="145"/>
      <c r="J44" s="145"/>
      <c r="K44" s="145"/>
      <c r="L44" s="145"/>
      <c r="M44" s="145"/>
    </row>
    <row r="45" spans="1:13" x14ac:dyDescent="0.25">
      <c r="A45" s="161" t="s">
        <v>807</v>
      </c>
      <c r="B45" s="102" t="s">
        <v>424</v>
      </c>
      <c r="C45" s="161">
        <v>2440</v>
      </c>
      <c r="D45" s="104">
        <v>39052.54</v>
      </c>
      <c r="E45" s="104"/>
      <c r="F45" s="272"/>
      <c r="G45" s="273">
        <f t="shared" si="2"/>
        <v>39052.54</v>
      </c>
      <c r="H45" s="145"/>
      <c r="I45" s="145"/>
      <c r="J45" s="145"/>
      <c r="K45" s="145"/>
      <c r="L45" s="145"/>
      <c r="M45" s="145"/>
    </row>
    <row r="46" spans="1:13" x14ac:dyDescent="0.25">
      <c r="A46" s="161" t="s">
        <v>356</v>
      </c>
      <c r="B46" s="102" t="s">
        <v>86</v>
      </c>
      <c r="C46" s="161">
        <v>2441</v>
      </c>
      <c r="D46" s="104">
        <v>67931.710000000006</v>
      </c>
      <c r="E46" s="104"/>
      <c r="F46" s="272">
        <v>21237</v>
      </c>
      <c r="G46" s="273">
        <f t="shared" si="2"/>
        <v>89168.71</v>
      </c>
      <c r="H46" s="145"/>
      <c r="I46" s="145"/>
      <c r="J46" s="145"/>
      <c r="K46" s="145"/>
      <c r="L46" s="145"/>
      <c r="M46" s="145"/>
    </row>
    <row r="47" spans="1:13" x14ac:dyDescent="0.25">
      <c r="A47" s="161" t="s">
        <v>404</v>
      </c>
      <c r="B47" s="102" t="s">
        <v>88</v>
      </c>
      <c r="C47" s="161">
        <v>2442</v>
      </c>
      <c r="D47" s="104">
        <v>9956</v>
      </c>
      <c r="E47" s="104"/>
      <c r="F47" s="272">
        <v>6067</v>
      </c>
      <c r="G47" s="273">
        <f t="shared" si="2"/>
        <v>16023</v>
      </c>
      <c r="H47" s="145"/>
      <c r="I47" s="145"/>
      <c r="J47" s="145"/>
      <c r="K47" s="145"/>
      <c r="L47" s="145"/>
      <c r="M47" s="145"/>
    </row>
    <row r="48" spans="1:13" x14ac:dyDescent="0.25">
      <c r="A48" s="161" t="s">
        <v>357</v>
      </c>
      <c r="B48" s="102" t="s">
        <v>89</v>
      </c>
      <c r="C48" s="161">
        <v>2443</v>
      </c>
      <c r="D48" s="104">
        <v>26510</v>
      </c>
      <c r="E48" s="104"/>
      <c r="F48" s="272">
        <v>2938</v>
      </c>
      <c r="G48" s="273">
        <f t="shared" si="2"/>
        <v>29448</v>
      </c>
      <c r="H48" s="145"/>
      <c r="I48" s="145"/>
      <c r="J48" s="145"/>
      <c r="K48" s="145"/>
      <c r="L48" s="145"/>
      <c r="M48" s="145"/>
    </row>
    <row r="49" spans="1:13" x14ac:dyDescent="0.25">
      <c r="A49" s="161" t="s">
        <v>358</v>
      </c>
      <c r="B49" s="102" t="s">
        <v>90</v>
      </c>
      <c r="C49" s="161">
        <v>2444</v>
      </c>
      <c r="D49" s="104">
        <v>12591</v>
      </c>
      <c r="E49" s="104"/>
      <c r="F49" s="272">
        <v>3369</v>
      </c>
      <c r="G49" s="273">
        <f t="shared" si="2"/>
        <v>15960</v>
      </c>
      <c r="H49" s="145"/>
      <c r="I49" s="145"/>
      <c r="J49" s="145"/>
      <c r="K49" s="145"/>
      <c r="L49" s="145"/>
      <c r="M49" s="145"/>
    </row>
    <row r="50" spans="1:13" x14ac:dyDescent="0.25">
      <c r="A50" s="161" t="s">
        <v>353</v>
      </c>
      <c r="B50" s="102" t="s">
        <v>83</v>
      </c>
      <c r="C50" s="161">
        <v>2445</v>
      </c>
      <c r="D50" s="104">
        <v>86369.54</v>
      </c>
      <c r="E50" s="104"/>
      <c r="F50" s="272">
        <v>2571</v>
      </c>
      <c r="G50" s="273">
        <f t="shared" si="2"/>
        <v>88940.54</v>
      </c>
      <c r="H50" s="145"/>
      <c r="I50" s="145"/>
      <c r="J50" s="145"/>
      <c r="K50" s="145"/>
      <c r="L50" s="145"/>
      <c r="M50" s="145"/>
    </row>
    <row r="51" spans="1:13" x14ac:dyDescent="0.25">
      <c r="A51" s="161" t="s">
        <v>354</v>
      </c>
      <c r="B51" s="102" t="s">
        <v>84</v>
      </c>
      <c r="C51" s="161">
        <v>2446</v>
      </c>
      <c r="D51" s="104">
        <v>17801.14</v>
      </c>
      <c r="E51" s="104"/>
      <c r="F51" s="272">
        <v>2488</v>
      </c>
      <c r="G51" s="273">
        <f t="shared" si="2"/>
        <v>20289.14</v>
      </c>
      <c r="H51" s="145"/>
      <c r="I51" s="145"/>
      <c r="J51" s="145"/>
      <c r="K51" s="145"/>
      <c r="L51" s="145"/>
      <c r="M51" s="145"/>
    </row>
    <row r="52" spans="1:13" x14ac:dyDescent="0.25">
      <c r="A52" s="161" t="s">
        <v>355</v>
      </c>
      <c r="B52" s="102" t="s">
        <v>85</v>
      </c>
      <c r="C52" s="161">
        <v>2447</v>
      </c>
      <c r="D52" s="104">
        <v>37445.919999999998</v>
      </c>
      <c r="E52" s="104"/>
      <c r="F52" s="272">
        <v>2783</v>
      </c>
      <c r="G52" s="273">
        <f t="shared" si="2"/>
        <v>40228.92</v>
      </c>
      <c r="H52" s="145"/>
      <c r="I52" s="145"/>
      <c r="J52" s="145"/>
      <c r="K52" s="145"/>
      <c r="L52" s="145"/>
      <c r="M52" s="145"/>
    </row>
    <row r="53" spans="1:13" x14ac:dyDescent="0.25">
      <c r="A53" s="161"/>
      <c r="B53" s="102" t="s">
        <v>870</v>
      </c>
      <c r="C53" s="161"/>
      <c r="D53" s="104">
        <v>0</v>
      </c>
      <c r="E53" s="104"/>
      <c r="F53" s="272">
        <v>6599</v>
      </c>
      <c r="G53" s="273">
        <f t="shared" si="2"/>
        <v>6599</v>
      </c>
      <c r="H53" s="145"/>
      <c r="I53" s="145"/>
      <c r="J53" s="145"/>
      <c r="K53" s="145"/>
      <c r="L53" s="145"/>
      <c r="M53" s="145"/>
    </row>
    <row r="54" spans="1:13" x14ac:dyDescent="0.25">
      <c r="A54" s="161"/>
      <c r="B54" s="102" t="s">
        <v>610</v>
      </c>
      <c r="C54" s="161">
        <v>2800</v>
      </c>
      <c r="D54" s="104">
        <v>118432.21</v>
      </c>
      <c r="E54" s="104"/>
      <c r="F54" s="272">
        <v>142253</v>
      </c>
      <c r="G54" s="273">
        <f t="shared" si="2"/>
        <v>260685.21000000002</v>
      </c>
      <c r="H54" s="145"/>
      <c r="I54" s="145"/>
      <c r="J54" s="145"/>
      <c r="K54" s="145"/>
      <c r="L54" s="145"/>
      <c r="M54" s="145"/>
    </row>
    <row r="55" spans="1:13" x14ac:dyDescent="0.25">
      <c r="A55" s="161" t="s">
        <v>359</v>
      </c>
      <c r="B55" s="102" t="s">
        <v>64</v>
      </c>
      <c r="C55" s="161">
        <v>3000</v>
      </c>
      <c r="D55" s="104">
        <v>44837.63</v>
      </c>
      <c r="E55" s="104"/>
      <c r="F55" s="272">
        <v>4520</v>
      </c>
      <c r="G55" s="273">
        <f t="shared" si="2"/>
        <v>49357.63</v>
      </c>
      <c r="H55" s="145"/>
      <c r="I55" s="145"/>
      <c r="J55" s="145"/>
      <c r="K55" s="145"/>
      <c r="L55" s="145"/>
      <c r="M55" s="145"/>
    </row>
    <row r="56" spans="1:13" x14ac:dyDescent="0.25">
      <c r="A56" s="161"/>
      <c r="B56" s="102" t="s">
        <v>643</v>
      </c>
      <c r="C56" s="161">
        <v>4000</v>
      </c>
      <c r="D56" s="104">
        <v>21637.33</v>
      </c>
      <c r="E56" s="104"/>
      <c r="F56" s="272"/>
      <c r="G56" s="273">
        <f t="shared" si="2"/>
        <v>21637.33</v>
      </c>
      <c r="H56" s="145"/>
      <c r="I56" s="145"/>
      <c r="J56" s="145"/>
      <c r="K56" s="145"/>
      <c r="L56" s="145"/>
      <c r="M56" s="145"/>
    </row>
    <row r="57" spans="1:13" x14ac:dyDescent="0.25">
      <c r="A57" s="161"/>
      <c r="B57" s="102" t="s">
        <v>543</v>
      </c>
      <c r="C57" s="161">
        <v>4001</v>
      </c>
      <c r="D57" s="104">
        <v>44975.34</v>
      </c>
      <c r="E57" s="104"/>
      <c r="F57" s="272"/>
      <c r="G57" s="273">
        <f t="shared" si="2"/>
        <v>44975.34</v>
      </c>
      <c r="H57" s="145"/>
      <c r="I57" s="145"/>
      <c r="J57" s="145"/>
      <c r="K57" s="145"/>
      <c r="L57" s="145"/>
      <c r="M57" s="145"/>
    </row>
    <row r="58" spans="1:13" x14ac:dyDescent="0.25">
      <c r="A58" s="161"/>
      <c r="B58" s="102" t="s">
        <v>425</v>
      </c>
      <c r="C58" s="161">
        <v>4100</v>
      </c>
      <c r="D58" s="104">
        <v>69993.72</v>
      </c>
      <c r="E58" s="104"/>
      <c r="F58" s="272"/>
      <c r="G58" s="273">
        <f t="shared" si="2"/>
        <v>69993.72</v>
      </c>
      <c r="H58" s="145"/>
      <c r="I58" s="145"/>
      <c r="J58" s="145"/>
      <c r="K58" s="145"/>
      <c r="L58" s="145"/>
      <c r="M58" s="145"/>
    </row>
    <row r="59" spans="1:13" x14ac:dyDescent="0.25">
      <c r="A59" s="161"/>
      <c r="B59" s="102" t="s">
        <v>711</v>
      </c>
      <c r="C59" s="161">
        <v>4200</v>
      </c>
      <c r="D59" s="104">
        <v>7869.42</v>
      </c>
      <c r="E59" s="104"/>
      <c r="F59" s="272"/>
      <c r="G59" s="273">
        <f t="shared" si="2"/>
        <v>7869.42</v>
      </c>
      <c r="H59" s="145"/>
      <c r="I59" s="145"/>
      <c r="J59" s="145"/>
      <c r="K59" s="145"/>
      <c r="L59" s="145"/>
      <c r="M59" s="145"/>
    </row>
    <row r="60" spans="1:13" x14ac:dyDescent="0.25">
      <c r="A60" s="161"/>
      <c r="B60" s="102" t="s">
        <v>710</v>
      </c>
      <c r="C60" s="161">
        <v>4300</v>
      </c>
      <c r="D60" s="104">
        <v>5642.34</v>
      </c>
      <c r="E60" s="104">
        <v>0</v>
      </c>
      <c r="F60" s="272"/>
      <c r="G60" s="273">
        <f t="shared" si="2"/>
        <v>5642.34</v>
      </c>
      <c r="H60" s="145"/>
      <c r="I60" s="145"/>
      <c r="J60" s="145"/>
      <c r="K60" s="145"/>
      <c r="L60" s="145"/>
      <c r="M60" s="145"/>
    </row>
    <row r="61" spans="1:13" x14ac:dyDescent="0.25">
      <c r="A61" s="161"/>
      <c r="B61" s="102" t="s">
        <v>611</v>
      </c>
      <c r="C61" s="161">
        <v>4400</v>
      </c>
      <c r="D61" s="104">
        <v>8344.02</v>
      </c>
      <c r="E61" s="104"/>
      <c r="F61" s="272"/>
      <c r="G61" s="273">
        <f t="shared" si="2"/>
        <v>8344.02</v>
      </c>
      <c r="H61" s="145"/>
      <c r="I61" s="145"/>
      <c r="J61" s="145"/>
      <c r="K61" s="145"/>
      <c r="L61" s="145"/>
      <c r="M61" s="145"/>
    </row>
    <row r="62" spans="1:13" x14ac:dyDescent="0.25">
      <c r="A62" s="161" t="s">
        <v>77</v>
      </c>
      <c r="B62" s="102" t="s">
        <v>645</v>
      </c>
      <c r="C62" s="161" t="s">
        <v>644</v>
      </c>
      <c r="D62" s="104">
        <v>1724</v>
      </c>
      <c r="E62" s="104"/>
      <c r="F62" s="272"/>
      <c r="G62" s="273">
        <f t="shared" si="2"/>
        <v>1724</v>
      </c>
      <c r="H62" s="145"/>
      <c r="I62" s="145"/>
      <c r="J62" s="145"/>
      <c r="K62" s="145"/>
      <c r="L62" s="145"/>
      <c r="M62" s="145"/>
    </row>
    <row r="63" spans="1:13" x14ac:dyDescent="0.25">
      <c r="A63" s="161"/>
      <c r="B63" s="102" t="s">
        <v>647</v>
      </c>
      <c r="C63" s="161"/>
      <c r="D63" s="104">
        <v>0</v>
      </c>
      <c r="E63" s="104"/>
      <c r="F63" s="272"/>
      <c r="G63" s="273">
        <f t="shared" si="2"/>
        <v>0</v>
      </c>
      <c r="H63" s="145"/>
      <c r="I63" s="145"/>
      <c r="J63" s="145"/>
      <c r="K63" s="145"/>
      <c r="L63" s="145"/>
      <c r="M63" s="145"/>
    </row>
    <row r="64" spans="1:13" x14ac:dyDescent="0.25">
      <c r="A64" s="161"/>
      <c r="B64" s="102" t="s">
        <v>691</v>
      </c>
      <c r="C64" s="161"/>
      <c r="D64" s="104">
        <v>0</v>
      </c>
      <c r="E64" s="104">
        <v>0</v>
      </c>
      <c r="F64" s="272">
        <v>7178</v>
      </c>
      <c r="G64" s="273">
        <f t="shared" si="2"/>
        <v>7178</v>
      </c>
      <c r="H64" s="145"/>
      <c r="I64" s="145"/>
      <c r="J64" s="145"/>
      <c r="K64" s="145"/>
      <c r="L64" s="145"/>
      <c r="M64" s="145"/>
    </row>
    <row r="65" spans="1:56" x14ac:dyDescent="0.25">
      <c r="A65" s="161" t="s">
        <v>360</v>
      </c>
      <c r="B65" s="102" t="s">
        <v>402</v>
      </c>
      <c r="C65" s="161"/>
      <c r="D65" s="104"/>
      <c r="E65" s="104"/>
      <c r="F65" s="272">
        <v>13516</v>
      </c>
      <c r="G65" s="273">
        <f t="shared" si="2"/>
        <v>13516</v>
      </c>
      <c r="H65" s="145"/>
      <c r="I65" s="145"/>
      <c r="J65" s="145"/>
      <c r="K65" s="145"/>
      <c r="L65" s="145"/>
      <c r="M65" s="145"/>
    </row>
    <row r="66" spans="1:56" ht="16.5" thickBot="1" x14ac:dyDescent="0.3">
      <c r="A66" s="161"/>
      <c r="B66" s="102" t="s">
        <v>648</v>
      </c>
      <c r="C66" s="161"/>
      <c r="D66" s="104"/>
      <c r="E66" s="104"/>
      <c r="F66" s="272">
        <v>8286</v>
      </c>
      <c r="G66" s="273">
        <f t="shared" si="2"/>
        <v>8286</v>
      </c>
      <c r="H66" s="145"/>
      <c r="I66" s="145"/>
      <c r="J66" s="145"/>
      <c r="K66" s="145"/>
      <c r="L66" s="145"/>
      <c r="M66" s="145"/>
    </row>
    <row r="67" spans="1:56" s="141" customFormat="1" ht="21.75" customHeight="1" thickTop="1" thickBot="1" x14ac:dyDescent="0.3">
      <c r="A67" s="275" t="s">
        <v>47</v>
      </c>
      <c r="B67" s="275" t="s">
        <v>0</v>
      </c>
      <c r="C67" s="275"/>
      <c r="D67" s="594">
        <f>SUM(D3:D66)</f>
        <v>14807122.799999999</v>
      </c>
      <c r="E67" s="276">
        <f>SUM(E3:E66)</f>
        <v>0</v>
      </c>
      <c r="F67" s="899">
        <f>SUM(F3:F66)</f>
        <v>2244752</v>
      </c>
      <c r="G67" s="277">
        <f>SUM(G3:G66)</f>
        <v>17051874.799999993</v>
      </c>
      <c r="H67" s="278"/>
      <c r="I67" s="278"/>
      <c r="J67" s="278"/>
      <c r="K67" s="278"/>
      <c r="L67" s="278"/>
      <c r="M67" s="278"/>
      <c r="N67" s="237"/>
      <c r="O67" s="237"/>
      <c r="P67" s="237"/>
      <c r="Q67" s="237"/>
      <c r="R67" s="237"/>
      <c r="S67" s="237"/>
      <c r="T67" s="237"/>
      <c r="U67" s="237"/>
      <c r="V67" s="237"/>
      <c r="W67" s="237"/>
      <c r="X67" s="237"/>
      <c r="Y67" s="237"/>
      <c r="Z67" s="237"/>
      <c r="AA67" s="237"/>
      <c r="AB67" s="237"/>
      <c r="AC67" s="237"/>
      <c r="AD67" s="237"/>
      <c r="AE67" s="237"/>
      <c r="AF67" s="237"/>
      <c r="AG67" s="237"/>
      <c r="AH67" s="237"/>
      <c r="AI67" s="237"/>
      <c r="AJ67" s="237"/>
      <c r="AK67" s="237"/>
      <c r="AL67" s="237"/>
      <c r="AM67" s="237"/>
      <c r="AN67" s="237"/>
      <c r="AO67" s="237"/>
      <c r="AP67" s="237"/>
      <c r="AQ67" s="237"/>
      <c r="AR67" s="237"/>
      <c r="AS67" s="237"/>
      <c r="AT67" s="237"/>
      <c r="AU67" s="237"/>
      <c r="AV67" s="237"/>
      <c r="AW67" s="237"/>
      <c r="AX67" s="237"/>
      <c r="AY67" s="237"/>
      <c r="AZ67" s="237"/>
      <c r="BA67" s="237"/>
      <c r="BB67" s="237"/>
      <c r="BC67" s="237"/>
      <c r="BD67" s="237"/>
    </row>
    <row r="68" spans="1:56" ht="16.5" thickTop="1" x14ac:dyDescent="0.25">
      <c r="A68" s="134"/>
      <c r="D68" s="279"/>
      <c r="E68" s="280"/>
      <c r="F68" s="279"/>
      <c r="G68" s="145"/>
      <c r="H68" s="145"/>
      <c r="I68" s="145"/>
      <c r="J68" s="145"/>
      <c r="K68" s="145"/>
      <c r="L68" s="145"/>
      <c r="M68" s="145"/>
    </row>
    <row r="69" spans="1:56" s="409" customFormat="1" ht="12" x14ac:dyDescent="0.2">
      <c r="A69" s="372"/>
      <c r="C69" s="591"/>
      <c r="D69" s="436">
        <v>14807122.4</v>
      </c>
      <c r="E69" s="592"/>
      <c r="F69" s="593">
        <v>2244752</v>
      </c>
      <c r="G69" s="414"/>
      <c r="H69" s="414"/>
      <c r="I69" s="414"/>
      <c r="J69" s="414"/>
      <c r="K69" s="414"/>
      <c r="L69" s="414"/>
      <c r="M69" s="414"/>
    </row>
    <row r="70" spans="1:56" s="409" customFormat="1" ht="12" x14ac:dyDescent="0.2">
      <c r="A70" s="372"/>
      <c r="C70" s="372"/>
      <c r="D70" s="593">
        <f>D67-D69</f>
        <v>0.39999999850988388</v>
      </c>
      <c r="E70" s="592"/>
      <c r="F70" s="593">
        <f>F67-F69</f>
        <v>0</v>
      </c>
      <c r="G70" s="414"/>
      <c r="H70" s="414"/>
      <c r="I70" s="414"/>
      <c r="J70" s="414"/>
      <c r="K70" s="414"/>
      <c r="L70" s="414"/>
      <c r="M70" s="414"/>
    </row>
    <row r="71" spans="1:56" x14ac:dyDescent="0.25">
      <c r="A71" s="142" t="s">
        <v>872</v>
      </c>
      <c r="E71" s="436"/>
      <c r="F71" s="279"/>
      <c r="G71" s="145"/>
      <c r="H71" s="145"/>
      <c r="I71" s="145"/>
      <c r="J71" s="145"/>
      <c r="K71" s="145"/>
      <c r="L71" s="145"/>
      <c r="M71" s="145"/>
    </row>
    <row r="72" spans="1:56" x14ac:dyDescent="0.25">
      <c r="D72" s="279"/>
      <c r="E72" s="437"/>
      <c r="F72" s="279"/>
    </row>
    <row r="73" spans="1:56" x14ac:dyDescent="0.25">
      <c r="F73" s="279"/>
    </row>
    <row r="74" spans="1:56" x14ac:dyDescent="0.25">
      <c r="D74" s="902"/>
      <c r="E74" s="145"/>
      <c r="F74" s="279"/>
      <c r="G74" s="902"/>
    </row>
  </sheetData>
  <autoFilter ref="A2:G69" xr:uid="{00000000-0009-0000-0000-00000A000000}"/>
  <sortState xmlns:xlrd2="http://schemas.microsoft.com/office/spreadsheetml/2017/richdata2" ref="A3:G66">
    <sortCondition ref="C3:C66"/>
  </sortState>
  <mergeCells count="1">
    <mergeCell ref="A1:G1"/>
  </mergeCells>
  <phoneticPr fontId="22" type="noConversion"/>
  <printOptions horizontalCentered="1"/>
  <pageMargins left="0" right="0" top="1.25" bottom="1" header="0.33" footer="0.5"/>
  <pageSetup scale="89" fitToHeight="0" orientation="portrait" r:id="rId1"/>
  <headerFooter alignWithMargins="0">
    <oddHeader>&amp;C&amp;"Arial,Bold"&amp;12DEPARTMENT OF CORRECTIONS
 2025 COST OF CARE 
(Based on FY2024 Actuals)</oddHeader>
    <oddFooter>&amp;L&amp;8&amp;Z&amp;F&amp;R&amp;8&amp;D
&amp;P of &amp;N</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tint="0.59999389629810485"/>
  </sheetPr>
  <dimension ref="A1:E48"/>
  <sheetViews>
    <sheetView showGridLines="0" zoomScaleNormal="100" workbookViewId="0">
      <selection activeCell="B8" sqref="B8"/>
    </sheetView>
  </sheetViews>
  <sheetFormatPr defaultColWidth="9.140625" defaultRowHeight="12.75" x14ac:dyDescent="0.2"/>
  <cols>
    <col min="1" max="1" width="31.28515625" style="101" customWidth="1"/>
    <col min="2" max="2" width="17.5703125" style="101" customWidth="1"/>
    <col min="3" max="3" width="12.5703125" style="101" bestFit="1" customWidth="1"/>
    <col min="4" max="4" width="14" style="101" customWidth="1"/>
    <col min="5" max="16384" width="9.140625" style="101"/>
  </cols>
  <sheetData>
    <row r="1" spans="1:5" ht="15.75" x14ac:dyDescent="0.25">
      <c r="A1" s="987" t="s">
        <v>108</v>
      </c>
      <c r="B1" s="987"/>
      <c r="C1" s="254"/>
      <c r="D1" s="984" t="s">
        <v>297</v>
      </c>
      <c r="E1" s="984"/>
    </row>
    <row r="2" spans="1:5" ht="19.5" customHeight="1" thickBot="1" x14ac:dyDescent="0.25">
      <c r="A2" s="988" t="s">
        <v>109</v>
      </c>
      <c r="B2" s="988"/>
      <c r="C2" s="255"/>
    </row>
    <row r="3" spans="1:5" ht="39.75" thickTop="1" thickBot="1" x14ac:dyDescent="0.25">
      <c r="A3" s="234" t="s">
        <v>55</v>
      </c>
      <c r="B3" s="262" t="s">
        <v>56</v>
      </c>
      <c r="C3" s="262" t="s">
        <v>57</v>
      </c>
    </row>
    <row r="4" spans="1:5" ht="13.5" thickTop="1" x14ac:dyDescent="0.2">
      <c r="A4" s="164" t="s">
        <v>239</v>
      </c>
      <c r="B4" s="256">
        <f>'Property Inventory'!G14</f>
        <v>2028644.17</v>
      </c>
      <c r="C4" s="256">
        <f>B4*0.06666</f>
        <v>135229.42037219999</v>
      </c>
    </row>
    <row r="5" spans="1:5" x14ac:dyDescent="0.2">
      <c r="A5" s="164" t="s">
        <v>496</v>
      </c>
      <c r="B5" s="256">
        <f>'Property Inventory'!G15</f>
        <v>267599.82</v>
      </c>
      <c r="C5" s="256">
        <f>B5*0.06666</f>
        <v>17838.2040012</v>
      </c>
    </row>
    <row r="6" spans="1:5" x14ac:dyDescent="0.2">
      <c r="A6" s="164" t="s">
        <v>634</v>
      </c>
      <c r="B6" s="256">
        <f>'Property Inventory'!G16</f>
        <v>560639.71</v>
      </c>
      <c r="C6" s="256">
        <f t="shared" ref="C6:C16" si="0">B6*0.06666</f>
        <v>37372.243068599993</v>
      </c>
    </row>
    <row r="7" spans="1:5" x14ac:dyDescent="0.2">
      <c r="A7" s="164" t="s">
        <v>504</v>
      </c>
      <c r="B7" s="256">
        <f>'Property Inventory'!G17</f>
        <v>457248.56</v>
      </c>
      <c r="C7" s="256">
        <f t="shared" si="0"/>
        <v>30480.189009599999</v>
      </c>
    </row>
    <row r="8" spans="1:5" x14ac:dyDescent="0.2">
      <c r="A8" s="164" t="s">
        <v>506</v>
      </c>
      <c r="B8" s="256">
        <f>'Property Inventory'!G26</f>
        <v>1778447.75</v>
      </c>
      <c r="C8" s="256">
        <f>B8*0.06666</f>
        <v>118551.32701499999</v>
      </c>
    </row>
    <row r="9" spans="1:5" x14ac:dyDescent="0.2">
      <c r="A9" s="164" t="s">
        <v>578</v>
      </c>
      <c r="B9" s="256">
        <f>'Property Inventory'!G18</f>
        <v>88748.04</v>
      </c>
      <c r="C9" s="256">
        <f t="shared" si="0"/>
        <v>5915.9443463999996</v>
      </c>
    </row>
    <row r="10" spans="1:5" x14ac:dyDescent="0.2">
      <c r="A10" s="164" t="s">
        <v>518</v>
      </c>
      <c r="B10" s="256">
        <f>'Property Inventory'!G19</f>
        <v>779856</v>
      </c>
      <c r="C10" s="256">
        <f t="shared" si="0"/>
        <v>51985.200959999995</v>
      </c>
    </row>
    <row r="11" spans="1:5" x14ac:dyDescent="0.2">
      <c r="A11" s="164" t="s">
        <v>579</v>
      </c>
      <c r="B11" s="256">
        <f>'Property Inventory'!G20</f>
        <v>118052.41</v>
      </c>
      <c r="C11" s="256">
        <f t="shared" si="0"/>
        <v>7869.3736505999996</v>
      </c>
    </row>
    <row r="12" spans="1:5" x14ac:dyDescent="0.2">
      <c r="A12" s="164" t="s">
        <v>521</v>
      </c>
      <c r="B12" s="256">
        <f>'Property Inventory'!G21</f>
        <v>1409452.48</v>
      </c>
      <c r="C12" s="256">
        <f t="shared" si="0"/>
        <v>93954.102316799996</v>
      </c>
    </row>
    <row r="13" spans="1:5" x14ac:dyDescent="0.2">
      <c r="A13" s="164" t="s">
        <v>257</v>
      </c>
      <c r="B13" s="256">
        <f>'Property Inventory'!G25</f>
        <v>756033.77</v>
      </c>
      <c r="C13" s="256">
        <f t="shared" si="0"/>
        <v>50397.211108199997</v>
      </c>
    </row>
    <row r="14" spans="1:5" x14ac:dyDescent="0.2">
      <c r="A14" s="164" t="s">
        <v>509</v>
      </c>
      <c r="B14" s="256">
        <f>'Property Inventory'!G22</f>
        <v>1956166.51</v>
      </c>
      <c r="C14" s="256">
        <f t="shared" si="0"/>
        <v>130398.0595566</v>
      </c>
    </row>
    <row r="15" spans="1:5" x14ac:dyDescent="0.2">
      <c r="A15" s="164" t="s">
        <v>510</v>
      </c>
      <c r="B15" s="256">
        <f>'Property Inventory'!G23</f>
        <v>1096904.74</v>
      </c>
      <c r="C15" s="256">
        <f t="shared" si="0"/>
        <v>73119.66996839999</v>
      </c>
    </row>
    <row r="16" spans="1:5" x14ac:dyDescent="0.2">
      <c r="A16" s="164" t="s">
        <v>649</v>
      </c>
      <c r="B16" s="257">
        <f>'Property Inventory'!G24</f>
        <v>181768.08</v>
      </c>
      <c r="C16" s="256">
        <f t="shared" si="0"/>
        <v>12116.660212799999</v>
      </c>
    </row>
    <row r="17" spans="1:5" ht="13.5" thickBot="1" x14ac:dyDescent="0.25">
      <c r="A17" s="164"/>
      <c r="B17" s="256"/>
      <c r="C17" s="256" t="s">
        <v>0</v>
      </c>
    </row>
    <row r="18" spans="1:5" ht="20.25" customHeight="1" thickTop="1" thickBot="1" x14ac:dyDescent="0.25">
      <c r="A18" s="258" t="s">
        <v>112</v>
      </c>
      <c r="B18" s="900">
        <f>SUM(B4:B17)</f>
        <v>11479562.039999999</v>
      </c>
      <c r="C18" s="901">
        <f>SUM(C4:C17)</f>
        <v>765227.60558640002</v>
      </c>
    </row>
    <row r="19" spans="1:5" ht="13.5" thickTop="1" x14ac:dyDescent="0.2">
      <c r="B19" s="168"/>
      <c r="C19" s="168"/>
    </row>
    <row r="20" spans="1:5" ht="4.1500000000000004" customHeight="1" x14ac:dyDescent="0.2">
      <c r="B20" s="168"/>
      <c r="C20" s="168"/>
      <c r="D20" s="168"/>
    </row>
    <row r="21" spans="1:5" x14ac:dyDescent="0.2">
      <c r="B21" s="168"/>
      <c r="C21" s="168"/>
      <c r="D21" s="259"/>
    </row>
    <row r="22" spans="1:5" ht="15.75" x14ac:dyDescent="0.25">
      <c r="A22" s="984" t="s">
        <v>110</v>
      </c>
      <c r="B22" s="984"/>
      <c r="C22" s="984"/>
      <c r="D22" s="985" t="s">
        <v>298</v>
      </c>
      <c r="E22" s="985"/>
    </row>
    <row r="23" spans="1:5" ht="16.5" thickBot="1" x14ac:dyDescent="0.3">
      <c r="A23" s="986" t="s">
        <v>751</v>
      </c>
      <c r="B23" s="986"/>
      <c r="C23" s="986"/>
      <c r="D23" s="260"/>
    </row>
    <row r="24" spans="1:5" s="264" customFormat="1" ht="39.75" thickTop="1" thickBot="1" x14ac:dyDescent="0.25">
      <c r="A24" s="234" t="s">
        <v>55</v>
      </c>
      <c r="B24" s="263" t="s">
        <v>202</v>
      </c>
      <c r="C24" s="263" t="s">
        <v>58</v>
      </c>
      <c r="D24" s="263" t="s">
        <v>59</v>
      </c>
    </row>
    <row r="25" spans="1:5" ht="13.5" thickTop="1" x14ac:dyDescent="0.2">
      <c r="A25" s="164" t="s">
        <v>299</v>
      </c>
      <c r="B25" s="256">
        <v>3522437</v>
      </c>
      <c r="C25" s="256">
        <v>0</v>
      </c>
      <c r="D25" s="256">
        <f>B25*0.02</f>
        <v>70448.740000000005</v>
      </c>
    </row>
    <row r="26" spans="1:5" x14ac:dyDescent="0.2">
      <c r="A26" s="164" t="s">
        <v>28</v>
      </c>
      <c r="B26" s="256">
        <v>16192923</v>
      </c>
      <c r="C26" s="256">
        <v>0</v>
      </c>
      <c r="D26" s="256">
        <f>B26*0.02</f>
        <v>323858.46000000002</v>
      </c>
    </row>
    <row r="27" spans="1:5" x14ac:dyDescent="0.2">
      <c r="A27" s="164" t="s">
        <v>13</v>
      </c>
      <c r="B27" s="256">
        <v>45066600</v>
      </c>
      <c r="C27" s="256">
        <v>0</v>
      </c>
      <c r="D27" s="256">
        <f t="shared" ref="D27:D37" si="1">B27*0.02</f>
        <v>901332</v>
      </c>
      <c r="E27" s="221"/>
    </row>
    <row r="28" spans="1:5" x14ac:dyDescent="0.2">
      <c r="A28" s="164" t="s">
        <v>24</v>
      </c>
      <c r="B28" s="256">
        <v>34112840</v>
      </c>
      <c r="C28" s="256">
        <v>0</v>
      </c>
      <c r="D28" s="256">
        <f t="shared" si="1"/>
        <v>682256.8</v>
      </c>
    </row>
    <row r="29" spans="1:5" x14ac:dyDescent="0.2">
      <c r="A29" s="164" t="s">
        <v>342</v>
      </c>
      <c r="B29" s="256">
        <v>78705708</v>
      </c>
      <c r="C29" s="256">
        <v>0</v>
      </c>
      <c r="D29" s="256">
        <f t="shared" si="1"/>
        <v>1574114.1600000001</v>
      </c>
    </row>
    <row r="30" spans="1:5" x14ac:dyDescent="0.2">
      <c r="A30" s="164" t="s">
        <v>15</v>
      </c>
      <c r="B30" s="256">
        <v>7691306</v>
      </c>
      <c r="C30" s="256">
        <v>0</v>
      </c>
      <c r="D30" s="256">
        <f t="shared" si="1"/>
        <v>153826.12</v>
      </c>
    </row>
    <row r="31" spans="1:5" x14ac:dyDescent="0.2">
      <c r="A31" s="164" t="s">
        <v>16</v>
      </c>
      <c r="B31" s="256">
        <v>28845762</v>
      </c>
      <c r="C31" s="256">
        <v>0</v>
      </c>
      <c r="D31" s="256">
        <f t="shared" si="1"/>
        <v>576915.24</v>
      </c>
    </row>
    <row r="32" spans="1:5" x14ac:dyDescent="0.2">
      <c r="A32" s="164" t="s">
        <v>17</v>
      </c>
      <c r="B32" s="256">
        <v>10392719</v>
      </c>
      <c r="C32" s="256">
        <v>0</v>
      </c>
      <c r="D32" s="256">
        <f t="shared" si="1"/>
        <v>207854.38</v>
      </c>
    </row>
    <row r="33" spans="1:4" x14ac:dyDescent="0.2">
      <c r="A33" s="164" t="s">
        <v>18</v>
      </c>
      <c r="B33" s="256">
        <f>41211974*1</f>
        <v>41211974</v>
      </c>
      <c r="C33" s="256">
        <v>0</v>
      </c>
      <c r="D33" s="256">
        <f t="shared" si="1"/>
        <v>824239.48</v>
      </c>
    </row>
    <row r="34" spans="1:4" x14ac:dyDescent="0.2">
      <c r="A34" s="164" t="s">
        <v>257</v>
      </c>
      <c r="B34" s="256">
        <v>12269054</v>
      </c>
      <c r="C34" s="256">
        <v>0</v>
      </c>
      <c r="D34" s="256">
        <f t="shared" si="1"/>
        <v>245381.08000000002</v>
      </c>
    </row>
    <row r="35" spans="1:4" x14ac:dyDescent="0.2">
      <c r="A35" s="164" t="s">
        <v>19</v>
      </c>
      <c r="B35" s="256">
        <v>78360986</v>
      </c>
      <c r="C35" s="256">
        <v>0</v>
      </c>
      <c r="D35" s="256">
        <f t="shared" si="1"/>
        <v>1567219.72</v>
      </c>
    </row>
    <row r="36" spans="1:4" x14ac:dyDescent="0.2">
      <c r="A36" s="164" t="s">
        <v>25</v>
      </c>
      <c r="B36" s="256">
        <v>51709708</v>
      </c>
      <c r="C36" s="256">
        <v>0</v>
      </c>
      <c r="D36" s="256">
        <f t="shared" si="1"/>
        <v>1034194.16</v>
      </c>
    </row>
    <row r="37" spans="1:4" x14ac:dyDescent="0.2">
      <c r="A37" s="164" t="s">
        <v>29</v>
      </c>
      <c r="B37" s="256">
        <v>12275277</v>
      </c>
      <c r="C37" s="256">
        <v>0</v>
      </c>
      <c r="D37" s="256">
        <f t="shared" si="1"/>
        <v>245505.54</v>
      </c>
    </row>
    <row r="38" spans="1:4" ht="13.5" thickBot="1" x14ac:dyDescent="0.25">
      <c r="A38" s="164"/>
      <c r="B38" s="256"/>
      <c r="C38" s="256"/>
      <c r="D38" s="256"/>
    </row>
    <row r="39" spans="1:4" ht="14.25" thickTop="1" thickBot="1" x14ac:dyDescent="0.25">
      <c r="A39" s="258" t="s">
        <v>111</v>
      </c>
      <c r="B39" s="657">
        <f>SUM(B25:B38)</f>
        <v>420357294</v>
      </c>
      <c r="C39" s="261">
        <f>SUM(C25:C38)</f>
        <v>0</v>
      </c>
      <c r="D39" s="658">
        <f>SUM(D25:D38)</f>
        <v>8407145.8800000008</v>
      </c>
    </row>
    <row r="40" spans="1:4" ht="30" customHeight="1" thickTop="1" thickBot="1" x14ac:dyDescent="0.25">
      <c r="A40" s="133"/>
      <c r="B40" s="168"/>
      <c r="C40" s="168"/>
      <c r="D40" s="168"/>
    </row>
    <row r="41" spans="1:4" s="268" customFormat="1" ht="26.25" thickBot="1" x14ac:dyDescent="0.25">
      <c r="A41" s="429" t="s">
        <v>403</v>
      </c>
      <c r="B41" s="265" t="s">
        <v>113</v>
      </c>
      <c r="C41" s="266"/>
      <c r="D41" s="267">
        <f>C18+D39</f>
        <v>9172373.4855864011</v>
      </c>
    </row>
    <row r="42" spans="1:4" ht="13.5" thickTop="1" x14ac:dyDescent="0.2">
      <c r="B42" s="168"/>
      <c r="C42" s="168"/>
      <c r="D42" s="259"/>
    </row>
    <row r="43" spans="1:4" x14ac:dyDescent="0.2">
      <c r="A43" s="236" t="s">
        <v>873</v>
      </c>
    </row>
    <row r="46" spans="1:4" x14ac:dyDescent="0.2">
      <c r="A46" s="631" t="s">
        <v>683</v>
      </c>
    </row>
    <row r="47" spans="1:4" s="132" customFormat="1" x14ac:dyDescent="0.2"/>
    <row r="48" spans="1:4" s="132" customFormat="1" x14ac:dyDescent="0.2"/>
  </sheetData>
  <mergeCells count="6">
    <mergeCell ref="D1:E1"/>
    <mergeCell ref="D22:E22"/>
    <mergeCell ref="A23:C23"/>
    <mergeCell ref="A22:C22"/>
    <mergeCell ref="A1:B1"/>
    <mergeCell ref="A2:B2"/>
  </mergeCells>
  <phoneticPr fontId="22" type="noConversion"/>
  <printOptions horizontalCentered="1" verticalCentered="1"/>
  <pageMargins left="0.75" right="0.75" top="1.25" bottom="1" header="0.33" footer="0.5"/>
  <pageSetup scale="98" orientation="portrait" r:id="rId1"/>
  <headerFooter alignWithMargins="0">
    <oddHeader>&amp;C&amp;"Arial,Bold"&amp;12DEPARTMENT OF CORRECTIONS
 2025 COST OF CARE 
(Based on FY2024 Actuals)</oddHeader>
    <oddFooter>&amp;L&amp;8&amp;F &amp;A&amp;R&amp;8&amp;D &amp;T</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tint="0.59999389629810485"/>
    <pageSetUpPr fitToPage="1"/>
  </sheetPr>
  <dimension ref="A1:BE44"/>
  <sheetViews>
    <sheetView showGridLines="0" workbookViewId="0">
      <pane xSplit="1" ySplit="2" topLeftCell="B3" activePane="bottomRight" state="frozen"/>
      <selection activeCell="B35" sqref="B35"/>
      <selection pane="topRight" activeCell="B35" sqref="B35"/>
      <selection pane="bottomLeft" activeCell="B35" sqref="B35"/>
      <selection pane="bottomRight" activeCell="A4" sqref="A4"/>
    </sheetView>
  </sheetViews>
  <sheetFormatPr defaultColWidth="9.140625" defaultRowHeight="12.75" x14ac:dyDescent="0.2"/>
  <cols>
    <col min="1" max="1" width="31.85546875" style="101" customWidth="1"/>
    <col min="2" max="2" width="12.7109375" style="101" customWidth="1"/>
    <col min="3" max="3" width="10.85546875" style="101" customWidth="1"/>
    <col min="4" max="4" width="17.28515625" style="212" customWidth="1"/>
    <col min="5" max="5" width="16" style="101" customWidth="1"/>
    <col min="6" max="6" width="17.5703125" style="101" bestFit="1" customWidth="1"/>
    <col min="7" max="7" width="12" style="163" bestFit="1" customWidth="1"/>
    <col min="8" max="8" width="9.140625" style="101"/>
    <col min="9" max="9" width="12.7109375" style="101" bestFit="1" customWidth="1"/>
    <col min="10" max="10" width="12" style="101" bestFit="1" customWidth="1"/>
    <col min="11" max="16384" width="9.140625" style="101"/>
  </cols>
  <sheetData>
    <row r="1" spans="1:8" ht="28.5" customHeight="1" thickBot="1" x14ac:dyDescent="0.25">
      <c r="A1" s="958" t="s">
        <v>762</v>
      </c>
      <c r="B1" s="958"/>
      <c r="C1" s="958"/>
      <c r="D1" s="958"/>
      <c r="E1" s="958"/>
      <c r="F1" s="958"/>
    </row>
    <row r="2" spans="1:8" ht="33" thickTop="1" thickBot="1" x14ac:dyDescent="0.25">
      <c r="A2" s="230" t="s">
        <v>66</v>
      </c>
      <c r="B2" s="230" t="s">
        <v>545</v>
      </c>
      <c r="C2" s="230" t="s">
        <v>546</v>
      </c>
      <c r="D2" s="281" t="s">
        <v>67</v>
      </c>
      <c r="E2" s="231" t="s">
        <v>68</v>
      </c>
      <c r="F2" s="230" t="s">
        <v>26</v>
      </c>
      <c r="G2" s="572" t="s">
        <v>672</v>
      </c>
    </row>
    <row r="3" spans="1:8" ht="15.75" customHeight="1" thickTop="1" x14ac:dyDescent="0.25">
      <c r="A3" s="102" t="s">
        <v>63</v>
      </c>
      <c r="B3" s="161" t="s">
        <v>878</v>
      </c>
      <c r="C3" s="161" t="s">
        <v>536</v>
      </c>
      <c r="D3" s="107">
        <f>-'Summary-Sched-E'!C3</f>
        <v>257037.53</v>
      </c>
      <c r="E3" s="105"/>
      <c r="F3" s="213">
        <f>SUM(D3:E3)</f>
        <v>257037.53</v>
      </c>
      <c r="G3" s="163" t="s">
        <v>752</v>
      </c>
      <c r="H3" s="101" t="s">
        <v>874</v>
      </c>
    </row>
    <row r="4" spans="1:8" ht="15.75" customHeight="1" x14ac:dyDescent="0.25">
      <c r="A4" s="102" t="s">
        <v>64</v>
      </c>
      <c r="B4" s="161"/>
      <c r="C4" s="161"/>
      <c r="D4" s="107">
        <v>0</v>
      </c>
      <c r="E4" s="105"/>
      <c r="F4" s="105">
        <f t="shared" ref="F4:F34" si="0">SUM(D4:E4)</f>
        <v>0</v>
      </c>
    </row>
    <row r="5" spans="1:8" ht="15.75" customHeight="1" x14ac:dyDescent="0.25">
      <c r="A5" s="102" t="s">
        <v>65</v>
      </c>
      <c r="B5" s="161"/>
      <c r="C5" s="161"/>
      <c r="D5" s="107">
        <v>0</v>
      </c>
      <c r="E5" s="105"/>
      <c r="F5" s="105">
        <f t="shared" si="0"/>
        <v>0</v>
      </c>
    </row>
    <row r="6" spans="1:8" ht="15.75" x14ac:dyDescent="0.25">
      <c r="A6" s="102" t="s">
        <v>367</v>
      </c>
      <c r="B6" s="161"/>
      <c r="C6" s="161" t="s">
        <v>537</v>
      </c>
      <c r="D6" s="107">
        <f>-'Summary-Sched-E'!C4</f>
        <v>425096.25</v>
      </c>
      <c r="E6" s="105"/>
      <c r="F6" s="105">
        <f t="shared" ref="F6" si="1">SUM(D6:E6)</f>
        <v>425096.25</v>
      </c>
      <c r="G6" s="163">
        <v>5301</v>
      </c>
      <c r="H6" s="101" t="s">
        <v>875</v>
      </c>
    </row>
    <row r="7" spans="1:8" ht="15.75" x14ac:dyDescent="0.25">
      <c r="A7" s="102" t="s">
        <v>714</v>
      </c>
      <c r="B7" s="161"/>
      <c r="C7" s="161" t="s">
        <v>538</v>
      </c>
      <c r="D7" s="107">
        <v>0</v>
      </c>
      <c r="E7" s="105"/>
      <c r="F7" s="105">
        <f t="shared" si="0"/>
        <v>0</v>
      </c>
      <c r="G7" s="163">
        <v>5301</v>
      </c>
      <c r="H7" s="101" t="s">
        <v>971</v>
      </c>
    </row>
    <row r="8" spans="1:8" ht="15.75" x14ac:dyDescent="0.25">
      <c r="A8" s="102" t="s">
        <v>642</v>
      </c>
      <c r="B8" s="161" t="s">
        <v>567</v>
      </c>
      <c r="C8" s="161"/>
      <c r="D8" s="107">
        <v>0</v>
      </c>
      <c r="E8" s="105"/>
      <c r="F8" s="105">
        <f t="shared" si="0"/>
        <v>0</v>
      </c>
      <c r="G8" s="163">
        <v>5014</v>
      </c>
    </row>
    <row r="9" spans="1:8" ht="15.75" x14ac:dyDescent="0.25">
      <c r="A9" s="102" t="s">
        <v>69</v>
      </c>
      <c r="B9" s="161"/>
      <c r="C9" s="161"/>
      <c r="D9" s="107">
        <f>-'Sched-D2'!E32</f>
        <v>2882.6</v>
      </c>
      <c r="E9" s="105"/>
      <c r="F9" s="105">
        <f t="shared" si="0"/>
        <v>2882.6</v>
      </c>
      <c r="H9" s="101" t="s">
        <v>852</v>
      </c>
    </row>
    <row r="10" spans="1:8" ht="15.75" x14ac:dyDescent="0.25">
      <c r="A10" s="102" t="s">
        <v>543</v>
      </c>
      <c r="B10" s="161" t="s">
        <v>544</v>
      </c>
      <c r="C10" s="161" t="s">
        <v>716</v>
      </c>
      <c r="D10" s="107">
        <f>-'Sched-D2'!E52</f>
        <v>54273.13</v>
      </c>
      <c r="E10" s="105"/>
      <c r="F10" s="213">
        <f>SUM(D10:E10)</f>
        <v>54273.13</v>
      </c>
      <c r="G10" s="163">
        <v>5014</v>
      </c>
      <c r="H10" s="101" t="s">
        <v>809</v>
      </c>
    </row>
    <row r="11" spans="1:8" ht="15.75" x14ac:dyDescent="0.25">
      <c r="A11" s="102" t="s">
        <v>543</v>
      </c>
      <c r="B11" s="161" t="s">
        <v>544</v>
      </c>
      <c r="C11" s="161" t="s">
        <v>548</v>
      </c>
      <c r="D11" s="107">
        <f>-'Sched-D2'!E49</f>
        <v>205848</v>
      </c>
      <c r="E11" s="105"/>
      <c r="F11" s="213">
        <f>SUM(D11:E11)</f>
        <v>205848</v>
      </c>
      <c r="G11" s="163">
        <v>5014</v>
      </c>
    </row>
    <row r="12" spans="1:8" ht="15.75" x14ac:dyDescent="0.25">
      <c r="A12" s="102" t="s">
        <v>543</v>
      </c>
      <c r="B12" s="161" t="s">
        <v>544</v>
      </c>
      <c r="C12" s="161" t="s">
        <v>548</v>
      </c>
      <c r="D12" s="107">
        <f>-'Sched-D2'!E51</f>
        <v>0</v>
      </c>
      <c r="E12" s="105"/>
      <c r="F12" s="213">
        <f>SUM(D12:E12)</f>
        <v>0</v>
      </c>
      <c r="G12" s="163">
        <v>5301</v>
      </c>
    </row>
    <row r="13" spans="1:8" ht="15.75" x14ac:dyDescent="0.25">
      <c r="A13" s="102" t="s">
        <v>543</v>
      </c>
      <c r="B13" s="161" t="s">
        <v>544</v>
      </c>
      <c r="C13" s="161" t="s">
        <v>547</v>
      </c>
      <c r="D13" s="107">
        <f>-'Sched-D2'!E50</f>
        <v>251775</v>
      </c>
      <c r="E13" s="105"/>
      <c r="F13" s="213">
        <f>SUM(D13:E13)</f>
        <v>251775</v>
      </c>
      <c r="G13" s="163">
        <v>5007</v>
      </c>
      <c r="H13" s="101" t="s">
        <v>789</v>
      </c>
    </row>
    <row r="14" spans="1:8" ht="15.75" x14ac:dyDescent="0.25">
      <c r="A14" s="102" t="s">
        <v>543</v>
      </c>
      <c r="B14" s="161" t="s">
        <v>544</v>
      </c>
      <c r="C14" s="161" t="s">
        <v>876</v>
      </c>
      <c r="D14" s="107">
        <f>-'Sched-D2'!E48</f>
        <v>991251.26</v>
      </c>
      <c r="E14" s="105"/>
      <c r="F14" s="213">
        <f>SUM(D14:E14)</f>
        <v>991251.26</v>
      </c>
      <c r="H14" s="101" t="s">
        <v>877</v>
      </c>
    </row>
    <row r="15" spans="1:8" ht="15.75" x14ac:dyDescent="0.25">
      <c r="A15" s="102" t="s">
        <v>549</v>
      </c>
      <c r="B15" s="161" t="s">
        <v>550</v>
      </c>
      <c r="C15" s="161" t="s">
        <v>680</v>
      </c>
      <c r="D15" s="107">
        <f>-'Sched-D2'!E68-'Sched-D2'!E69-'Sched-D2'!E70-'Sched-D2'!E67</f>
        <v>29015.360000000001</v>
      </c>
      <c r="E15" s="105"/>
      <c r="F15" s="213">
        <f t="shared" si="0"/>
        <v>29015.360000000001</v>
      </c>
      <c r="G15" s="163">
        <v>5301</v>
      </c>
      <c r="H15" s="101" t="s">
        <v>879</v>
      </c>
    </row>
    <row r="16" spans="1:8" ht="15.75" x14ac:dyDescent="0.25">
      <c r="A16" s="102" t="s">
        <v>65</v>
      </c>
      <c r="B16" s="161"/>
      <c r="C16" s="161"/>
      <c r="D16" s="107">
        <v>0</v>
      </c>
      <c r="E16" s="105"/>
      <c r="F16" s="105">
        <f t="shared" si="0"/>
        <v>0</v>
      </c>
      <c r="G16" s="573"/>
    </row>
    <row r="17" spans="1:10" ht="15.75" x14ac:dyDescent="0.25">
      <c r="A17" s="102" t="s">
        <v>70</v>
      </c>
      <c r="B17" s="161"/>
      <c r="C17" s="161"/>
      <c r="D17" s="107">
        <v>0</v>
      </c>
      <c r="E17" s="105"/>
      <c r="F17" s="105">
        <f t="shared" si="0"/>
        <v>0</v>
      </c>
    </row>
    <row r="18" spans="1:10" ht="15.75" x14ac:dyDescent="0.25">
      <c r="A18" s="102" t="s">
        <v>670</v>
      </c>
      <c r="B18" s="161" t="s">
        <v>552</v>
      </c>
      <c r="C18" s="161" t="s">
        <v>553</v>
      </c>
      <c r="D18" s="107">
        <f>-'Sched-D2'!E107</f>
        <v>140000</v>
      </c>
      <c r="E18" s="105"/>
      <c r="F18" s="213">
        <f t="shared" si="0"/>
        <v>140000</v>
      </c>
      <c r="G18" s="163">
        <v>5301</v>
      </c>
    </row>
    <row r="19" spans="1:10" ht="15.75" x14ac:dyDescent="0.25">
      <c r="A19" s="102" t="s">
        <v>62</v>
      </c>
      <c r="B19" s="161"/>
      <c r="C19" s="161"/>
      <c r="D19" s="107">
        <v>0</v>
      </c>
      <c r="E19" s="105"/>
      <c r="F19" s="105">
        <f t="shared" si="0"/>
        <v>0</v>
      </c>
    </row>
    <row r="20" spans="1:10" ht="15.75" x14ac:dyDescent="0.25">
      <c r="A20" s="102" t="s">
        <v>239</v>
      </c>
      <c r="B20" s="161"/>
      <c r="C20" s="161"/>
      <c r="D20" s="107"/>
      <c r="E20" s="105"/>
      <c r="F20" s="105"/>
    </row>
    <row r="21" spans="1:10" ht="15.75" x14ac:dyDescent="0.25">
      <c r="A21" s="102" t="s">
        <v>496</v>
      </c>
      <c r="B21" s="161" t="s">
        <v>552</v>
      </c>
      <c r="C21" s="161" t="s">
        <v>554</v>
      </c>
      <c r="D21" s="107">
        <f>-'Sched-D1'!D52</f>
        <v>0</v>
      </c>
      <c r="E21" s="105"/>
      <c r="F21" s="213">
        <f t="shared" si="0"/>
        <v>0</v>
      </c>
      <c r="G21" s="163">
        <v>5301</v>
      </c>
    </row>
    <row r="22" spans="1:10" ht="15.75" x14ac:dyDescent="0.25">
      <c r="A22" s="102" t="s">
        <v>495</v>
      </c>
      <c r="B22" s="161"/>
      <c r="C22" s="161"/>
      <c r="D22" s="107">
        <v>0</v>
      </c>
      <c r="E22" s="105"/>
      <c r="F22" s="105">
        <f t="shared" si="0"/>
        <v>0</v>
      </c>
    </row>
    <row r="23" spans="1:10" ht="15.75" x14ac:dyDescent="0.25">
      <c r="A23" s="102" t="s">
        <v>504</v>
      </c>
      <c r="B23" s="161"/>
      <c r="C23" s="161"/>
      <c r="D23" s="107">
        <v>0</v>
      </c>
      <c r="E23" s="105"/>
      <c r="F23" s="105">
        <f t="shared" si="0"/>
        <v>0</v>
      </c>
    </row>
    <row r="24" spans="1:10" ht="15.75" x14ac:dyDescent="0.25">
      <c r="A24" s="102" t="s">
        <v>506</v>
      </c>
      <c r="B24" s="161" t="s">
        <v>552</v>
      </c>
      <c r="C24" s="161" t="s">
        <v>555</v>
      </c>
      <c r="D24" s="107">
        <f>-'Sched-D1'!D211</f>
        <v>0</v>
      </c>
      <c r="E24" s="105"/>
      <c r="F24" s="282">
        <f t="shared" si="0"/>
        <v>0</v>
      </c>
    </row>
    <row r="25" spans="1:10" ht="15.75" x14ac:dyDescent="0.25">
      <c r="A25" s="102" t="s">
        <v>578</v>
      </c>
      <c r="B25" s="161"/>
      <c r="C25" s="161"/>
      <c r="D25" s="107">
        <v>0</v>
      </c>
      <c r="E25" s="105"/>
      <c r="F25" s="105">
        <f t="shared" si="0"/>
        <v>0</v>
      </c>
    </row>
    <row r="26" spans="1:10" ht="15.75" x14ac:dyDescent="0.25">
      <c r="A26" s="102" t="s">
        <v>518</v>
      </c>
      <c r="B26" s="161" t="s">
        <v>552</v>
      </c>
      <c r="C26" s="161" t="s">
        <v>556</v>
      </c>
      <c r="D26" s="107">
        <f>-'Sched-D1'!D325-'Sched-D1'!D324</f>
        <v>373845.31</v>
      </c>
      <c r="E26" s="105"/>
      <c r="F26" s="213">
        <f t="shared" si="0"/>
        <v>373845.31</v>
      </c>
      <c r="G26" s="163">
        <v>5301</v>
      </c>
      <c r="H26" s="101" t="s">
        <v>621</v>
      </c>
    </row>
    <row r="27" spans="1:10" ht="15.75" x14ac:dyDescent="0.25">
      <c r="A27" s="102" t="s">
        <v>579</v>
      </c>
      <c r="B27" s="161"/>
      <c r="C27" s="161"/>
      <c r="D27" s="107">
        <v>0</v>
      </c>
      <c r="E27" s="105"/>
      <c r="F27" s="105">
        <f t="shared" si="0"/>
        <v>0</v>
      </c>
    </row>
    <row r="28" spans="1:10" ht="15.75" x14ac:dyDescent="0.25">
      <c r="A28" s="102" t="s">
        <v>521</v>
      </c>
      <c r="B28" s="161"/>
      <c r="C28" s="161"/>
      <c r="D28" s="107">
        <v>0</v>
      </c>
      <c r="E28" s="105"/>
      <c r="F28" s="105">
        <f t="shared" si="0"/>
        <v>0</v>
      </c>
    </row>
    <row r="29" spans="1:10" ht="15.75" x14ac:dyDescent="0.25">
      <c r="A29" s="102" t="s">
        <v>509</v>
      </c>
      <c r="B29" s="161"/>
      <c r="C29" s="161"/>
      <c r="D29" s="107">
        <v>0</v>
      </c>
      <c r="E29" s="105"/>
      <c r="F29" s="105">
        <f t="shared" si="0"/>
        <v>0</v>
      </c>
    </row>
    <row r="30" spans="1:10" ht="15.75" x14ac:dyDescent="0.25">
      <c r="A30" s="102" t="s">
        <v>510</v>
      </c>
      <c r="B30" s="161"/>
      <c r="C30" s="161"/>
      <c r="D30" s="107">
        <f>'Sched-D1'!H545</f>
        <v>28891.200000000001</v>
      </c>
      <c r="E30" s="105"/>
      <c r="F30" s="105">
        <f t="shared" si="0"/>
        <v>28891.200000000001</v>
      </c>
      <c r="H30" s="101" t="s">
        <v>810</v>
      </c>
    </row>
    <row r="31" spans="1:10" ht="15.75" x14ac:dyDescent="0.25">
      <c r="A31" s="102" t="s">
        <v>649</v>
      </c>
      <c r="B31" s="161" t="s">
        <v>552</v>
      </c>
      <c r="C31" s="161" t="s">
        <v>557</v>
      </c>
      <c r="D31" s="107">
        <f>-'Sched-D1'!D602</f>
        <v>53896.15</v>
      </c>
      <c r="E31" s="105"/>
      <c r="F31" s="213">
        <f t="shared" si="0"/>
        <v>53896.15</v>
      </c>
      <c r="G31" s="163">
        <v>5301</v>
      </c>
      <c r="H31" s="101" t="s">
        <v>811</v>
      </c>
      <c r="J31" s="130"/>
    </row>
    <row r="32" spans="1:10" ht="15.75" x14ac:dyDescent="0.25">
      <c r="A32" s="102" t="s">
        <v>73</v>
      </c>
      <c r="B32" s="161"/>
      <c r="C32" s="161"/>
      <c r="D32" s="107">
        <v>0</v>
      </c>
      <c r="E32" s="105"/>
      <c r="F32" s="105">
        <f t="shared" si="0"/>
        <v>0</v>
      </c>
    </row>
    <row r="33" spans="1:57" ht="15.75" x14ac:dyDescent="0.25">
      <c r="A33" s="102" t="s">
        <v>671</v>
      </c>
      <c r="B33" s="161"/>
      <c r="C33" s="161"/>
      <c r="D33" s="107">
        <v>0</v>
      </c>
      <c r="E33" s="105"/>
      <c r="F33" s="105">
        <f t="shared" ref="F33" si="2">SUM(D33:E33)</f>
        <v>0</v>
      </c>
    </row>
    <row r="34" spans="1:57" ht="16.5" thickBot="1" x14ac:dyDescent="0.3">
      <c r="A34" s="102" t="s">
        <v>712</v>
      </c>
      <c r="B34" s="161" t="s">
        <v>565</v>
      </c>
      <c r="C34" s="161" t="s">
        <v>565</v>
      </c>
      <c r="D34" s="107">
        <f>-'Sched-D2'!D138</f>
        <v>566339.97</v>
      </c>
      <c r="E34" s="105"/>
      <c r="F34" s="105">
        <f t="shared" si="0"/>
        <v>566339.97</v>
      </c>
      <c r="G34" s="163">
        <v>5014</v>
      </c>
    </row>
    <row r="35" spans="1:57" s="132" customFormat="1" ht="21.75" customHeight="1" thickTop="1" thickBot="1" x14ac:dyDescent="0.3">
      <c r="A35" s="275" t="s">
        <v>60</v>
      </c>
      <c r="B35" s="275"/>
      <c r="C35" s="275"/>
      <c r="D35" s="283">
        <f>SUM(D3:D34)</f>
        <v>3380151.76</v>
      </c>
      <c r="E35" s="284">
        <f>SUM(E3:E34)</f>
        <v>0</v>
      </c>
      <c r="F35" s="872">
        <f>SUM(F3:F34)</f>
        <v>3380151.76</v>
      </c>
      <c r="G35" s="574"/>
      <c r="H35" s="271"/>
      <c r="I35" s="719">
        <f>D26+D21+D30+D31</f>
        <v>456632.66000000003</v>
      </c>
      <c r="J35" s="720" t="s">
        <v>790</v>
      </c>
      <c r="K35" s="271"/>
      <c r="L35" s="271"/>
      <c r="M35" s="271"/>
      <c r="N35" s="271"/>
      <c r="O35" s="271"/>
      <c r="P35" s="271"/>
      <c r="Q35" s="271"/>
      <c r="R35" s="271"/>
      <c r="S35" s="271"/>
      <c r="T35" s="271"/>
      <c r="U35" s="271"/>
      <c r="V35" s="271"/>
      <c r="W35" s="271"/>
      <c r="X35" s="271"/>
      <c r="Y35" s="271"/>
      <c r="Z35" s="271"/>
      <c r="AA35" s="271"/>
      <c r="AB35" s="271"/>
      <c r="AC35" s="271"/>
      <c r="AD35" s="271"/>
      <c r="AE35" s="271"/>
      <c r="AF35" s="271"/>
      <c r="AG35" s="271"/>
      <c r="AH35" s="271"/>
      <c r="AI35" s="271"/>
      <c r="AJ35" s="271"/>
      <c r="AK35" s="271"/>
      <c r="AL35" s="271"/>
      <c r="AM35" s="271"/>
      <c r="AN35" s="271"/>
      <c r="AO35" s="271"/>
      <c r="AP35" s="271"/>
      <c r="AQ35" s="271"/>
      <c r="AR35" s="271"/>
      <c r="AS35" s="271"/>
      <c r="AT35" s="271"/>
      <c r="AU35" s="271"/>
      <c r="AV35" s="271"/>
      <c r="AW35" s="271"/>
      <c r="AX35" s="271"/>
      <c r="AY35" s="271"/>
      <c r="AZ35" s="271"/>
      <c r="BA35" s="271"/>
      <c r="BB35" s="271"/>
      <c r="BC35" s="271"/>
      <c r="BD35" s="271"/>
      <c r="BE35" s="271"/>
    </row>
    <row r="36" spans="1:57" ht="13.5" thickTop="1" x14ac:dyDescent="0.2"/>
    <row r="37" spans="1:57" x14ac:dyDescent="0.2">
      <c r="A37" s="236" t="s">
        <v>880</v>
      </c>
    </row>
    <row r="39" spans="1:57" x14ac:dyDescent="0.2">
      <c r="D39" s="407"/>
    </row>
    <row r="41" spans="1:57" ht="15.75" x14ac:dyDescent="0.25">
      <c r="D41" s="886"/>
    </row>
    <row r="42" spans="1:57" x14ac:dyDescent="0.2">
      <c r="F42" s="130"/>
    </row>
    <row r="44" spans="1:57" x14ac:dyDescent="0.2">
      <c r="F44" s="130"/>
    </row>
  </sheetData>
  <mergeCells count="1">
    <mergeCell ref="A1:F1"/>
  </mergeCells>
  <phoneticPr fontId="22" type="noConversion"/>
  <printOptions horizontalCentered="1"/>
  <pageMargins left="0.75" right="0.75" top="1.25" bottom="1" header="0.33" footer="0.5"/>
  <pageSetup scale="85" orientation="portrait" r:id="rId1"/>
  <headerFooter alignWithMargins="0">
    <oddHeader>&amp;C&amp;"Arial,Bold"&amp;12DEPARTMENT OF CORRECTIONS
 2025 COST OF CARE 
(Based on FY2024 Actuals)</oddHeader>
    <oddFooter>&amp;L&amp;8&amp;F &amp;A&amp;R&amp;8&amp;D &amp;T</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59999389629810485"/>
  </sheetPr>
  <dimension ref="A1:R88"/>
  <sheetViews>
    <sheetView showGridLines="0" workbookViewId="0">
      <selection sqref="A1:J1"/>
    </sheetView>
  </sheetViews>
  <sheetFormatPr defaultColWidth="9.140625" defaultRowHeight="12.75" x14ac:dyDescent="0.2"/>
  <cols>
    <col min="1" max="2" width="3.7109375" style="101" customWidth="1"/>
    <col min="3" max="3" width="8.5703125" style="101" customWidth="1"/>
    <col min="4" max="4" width="30.5703125" style="101" customWidth="1"/>
    <col min="5" max="5" width="14.28515625" style="163" customWidth="1"/>
    <col min="6" max="6" width="16.28515625" style="101" customWidth="1"/>
    <col min="7" max="7" width="16.42578125" style="101" customWidth="1"/>
    <col min="8" max="8" width="11.42578125" style="101" customWidth="1"/>
    <col min="9" max="9" width="15.42578125" style="101" customWidth="1"/>
    <col min="10" max="10" width="16.140625" style="101" customWidth="1"/>
    <col min="11" max="11" width="16.140625" style="101" bestFit="1" customWidth="1"/>
    <col min="12" max="12" width="14" style="101" customWidth="1"/>
    <col min="13" max="13" width="16" style="101" bestFit="1" customWidth="1"/>
    <col min="14" max="14" width="15" style="101" bestFit="1" customWidth="1"/>
    <col min="15" max="15" width="18.28515625" style="101" customWidth="1"/>
    <col min="16" max="16" width="1.5703125" style="101" customWidth="1"/>
    <col min="17" max="17" width="16.5703125" style="101" customWidth="1"/>
    <col min="18" max="18" width="25.5703125" style="101" customWidth="1"/>
    <col min="19" max="16384" width="9.140625" style="101"/>
  </cols>
  <sheetData>
    <row r="1" spans="1:18" ht="21" customHeight="1" thickBot="1" x14ac:dyDescent="0.25">
      <c r="A1" s="996" t="s">
        <v>215</v>
      </c>
      <c r="B1" s="996"/>
      <c r="C1" s="996"/>
      <c r="D1" s="996"/>
      <c r="E1" s="996"/>
      <c r="F1" s="996"/>
      <c r="G1" s="996"/>
      <c r="H1" s="996"/>
      <c r="I1" s="996"/>
      <c r="J1" s="996"/>
      <c r="M1" s="130"/>
    </row>
    <row r="2" spans="1:18" ht="24.75" customHeight="1" thickBot="1" x14ac:dyDescent="0.25">
      <c r="A2" s="992" t="s">
        <v>139</v>
      </c>
      <c r="B2" s="993"/>
      <c r="C2" s="993"/>
      <c r="D2" s="322"/>
      <c r="E2" s="323" t="s">
        <v>535</v>
      </c>
      <c r="F2" s="991" t="s">
        <v>216</v>
      </c>
      <c r="G2" s="991"/>
      <c r="H2" s="324" t="s">
        <v>118</v>
      </c>
      <c r="I2" s="338" t="s">
        <v>141</v>
      </c>
      <c r="J2" s="325" t="s">
        <v>119</v>
      </c>
      <c r="M2" s="316"/>
    </row>
    <row r="3" spans="1:18" x14ac:dyDescent="0.2">
      <c r="A3" s="586" t="s">
        <v>586</v>
      </c>
      <c r="B3" s="317"/>
      <c r="C3" s="318"/>
      <c r="D3" s="319"/>
      <c r="E3" s="320"/>
      <c r="F3" s="321"/>
      <c r="G3" s="321"/>
      <c r="H3" s="326"/>
      <c r="I3" s="659" t="s">
        <v>47</v>
      </c>
      <c r="J3" s="327"/>
      <c r="M3" s="130"/>
    </row>
    <row r="4" spans="1:18" x14ac:dyDescent="0.2">
      <c r="A4" s="285"/>
      <c r="B4" s="421" t="s">
        <v>598</v>
      </c>
      <c r="C4" s="287"/>
      <c r="D4" s="288"/>
      <c r="E4" s="304" t="s">
        <v>753</v>
      </c>
      <c r="F4" s="303">
        <f>-CostReim!D3-CostReim!D6-CostReim!D7</f>
        <v>-682133.78</v>
      </c>
      <c r="G4" s="290"/>
      <c r="H4" s="292"/>
      <c r="I4" s="299">
        <f>'Sched-E'!C3</f>
        <v>15037613.649999999</v>
      </c>
      <c r="J4" s="291"/>
      <c r="K4" s="132" t="s">
        <v>864</v>
      </c>
      <c r="M4" s="130"/>
      <c r="N4" s="130"/>
      <c r="O4" s="130"/>
      <c r="Q4" s="130"/>
      <c r="R4" s="130"/>
    </row>
    <row r="5" spans="1:18" x14ac:dyDescent="0.2">
      <c r="A5" s="586" t="s">
        <v>587</v>
      </c>
      <c r="B5" s="286"/>
      <c r="C5" s="287"/>
      <c r="D5" s="288"/>
      <c r="E5" s="290"/>
      <c r="F5" s="290"/>
      <c r="G5" s="290"/>
      <c r="H5" s="292"/>
      <c r="I5" s="589" t="s">
        <v>137</v>
      </c>
      <c r="J5" s="291"/>
      <c r="M5" s="130"/>
      <c r="N5" s="130"/>
      <c r="O5" s="130"/>
      <c r="Q5" s="130"/>
      <c r="R5" s="130"/>
    </row>
    <row r="6" spans="1:18" x14ac:dyDescent="0.2">
      <c r="A6" s="285"/>
      <c r="B6" s="286"/>
      <c r="C6" s="287"/>
      <c r="D6" s="288"/>
      <c r="E6" s="290"/>
      <c r="F6" s="290"/>
      <c r="G6" s="290"/>
      <c r="H6" s="293">
        <f>G7/$G$42</f>
        <v>0.84060778483451171</v>
      </c>
      <c r="I6" s="294">
        <f>SUM($I$4*H6)</f>
        <v>12640735.099523716</v>
      </c>
      <c r="J6" s="291"/>
      <c r="K6" s="295"/>
      <c r="M6" s="130"/>
      <c r="N6" s="130"/>
      <c r="O6" s="130"/>
      <c r="Q6" s="130"/>
      <c r="R6" s="130"/>
    </row>
    <row r="7" spans="1:18" x14ac:dyDescent="0.2">
      <c r="A7" s="296"/>
      <c r="B7" s="297" t="s">
        <v>91</v>
      </c>
      <c r="C7" s="235"/>
      <c r="D7" s="165"/>
      <c r="E7" s="269"/>
      <c r="F7" s="164"/>
      <c r="G7" s="298">
        <f>SUM(F8:F34)</f>
        <v>367022801.37558633</v>
      </c>
      <c r="H7" s="164"/>
      <c r="I7" s="164"/>
      <c r="J7" s="299">
        <f>SUM(I6+G7)</f>
        <v>379663536.47511005</v>
      </c>
      <c r="K7" s="295"/>
      <c r="M7" s="130"/>
      <c r="N7" s="130"/>
      <c r="O7" s="130"/>
      <c r="Q7" s="130"/>
      <c r="R7" s="130"/>
    </row>
    <row r="8" spans="1:18" x14ac:dyDescent="0.2">
      <c r="A8" s="296"/>
      <c r="B8" s="297"/>
      <c r="C8" s="421" t="s">
        <v>588</v>
      </c>
      <c r="D8" s="300"/>
      <c r="E8" s="289"/>
      <c r="F8" s="721">
        <f>'Sched-B1'!F17+'Sched-D1'!F708+'Sched-D2'!F146+CostReim!D21+CostReim!D26+CostReim!D30+CostReim!D31</f>
        <v>255677403.12</v>
      </c>
      <c r="G8" s="298"/>
      <c r="H8" s="301"/>
      <c r="I8" s="302"/>
      <c r="J8" s="299"/>
      <c r="K8" s="577"/>
      <c r="L8" s="407"/>
      <c r="M8" s="130"/>
      <c r="N8" s="130"/>
      <c r="O8" s="130"/>
      <c r="Q8" s="130"/>
      <c r="R8" s="130"/>
    </row>
    <row r="9" spans="1:18" x14ac:dyDescent="0.2">
      <c r="A9" s="296"/>
      <c r="B9" s="297"/>
      <c r="C9" s="994" t="s">
        <v>723</v>
      </c>
      <c r="D9" s="995"/>
      <c r="E9" s="269" t="s">
        <v>556</v>
      </c>
      <c r="F9" s="303">
        <f>-CostReim!D26</f>
        <v>-373845.31</v>
      </c>
      <c r="G9" s="298"/>
      <c r="H9" s="301"/>
      <c r="I9" s="301"/>
      <c r="J9" s="299"/>
      <c r="K9" s="407"/>
      <c r="L9" s="407"/>
      <c r="M9" s="130"/>
      <c r="N9" s="130"/>
      <c r="O9" s="130"/>
      <c r="Q9" s="130"/>
      <c r="R9" s="130"/>
    </row>
    <row r="10" spans="1:18" x14ac:dyDescent="0.2">
      <c r="A10" s="296"/>
      <c r="B10" s="297"/>
      <c r="C10" s="994" t="s">
        <v>673</v>
      </c>
      <c r="D10" s="995"/>
      <c r="E10" s="269" t="s">
        <v>558</v>
      </c>
      <c r="F10" s="303"/>
      <c r="G10" s="298"/>
      <c r="H10" s="301"/>
      <c r="I10" s="294"/>
      <c r="J10" s="299"/>
      <c r="K10" s="407"/>
      <c r="L10" s="407"/>
      <c r="M10" s="130"/>
      <c r="N10" s="130"/>
      <c r="O10" s="130"/>
      <c r="Q10" s="130"/>
      <c r="R10" s="130"/>
    </row>
    <row r="11" spans="1:18" x14ac:dyDescent="0.2">
      <c r="A11" s="296"/>
      <c r="B11" s="297"/>
      <c r="C11" s="994" t="s">
        <v>754</v>
      </c>
      <c r="D11" s="995"/>
      <c r="E11" s="269" t="s">
        <v>718</v>
      </c>
      <c r="F11" s="303">
        <f>-CostReim!D30</f>
        <v>-28891.200000000001</v>
      </c>
      <c r="G11" s="298"/>
      <c r="H11" s="301"/>
      <c r="I11" s="294"/>
      <c r="J11" s="299"/>
      <c r="K11" s="576"/>
      <c r="L11" s="407"/>
      <c r="M11" s="130"/>
      <c r="N11" s="130"/>
      <c r="O11" s="130"/>
      <c r="Q11" s="130"/>
      <c r="R11" s="130"/>
    </row>
    <row r="12" spans="1:18" x14ac:dyDescent="0.2">
      <c r="A12" s="296"/>
      <c r="B12" s="297"/>
      <c r="C12" s="994" t="s">
        <v>622</v>
      </c>
      <c r="D12" s="995"/>
      <c r="E12" s="269" t="s">
        <v>623</v>
      </c>
      <c r="F12" s="303"/>
      <c r="G12" s="298"/>
      <c r="H12" s="301"/>
      <c r="I12" s="294"/>
      <c r="J12" s="299"/>
      <c r="K12" s="576"/>
      <c r="L12" s="407"/>
      <c r="M12" s="130"/>
      <c r="N12" s="130"/>
      <c r="O12" s="130"/>
      <c r="Q12" s="130"/>
      <c r="R12" s="130"/>
    </row>
    <row r="13" spans="1:18" x14ac:dyDescent="0.2">
      <c r="A13" s="296"/>
      <c r="B13" s="297"/>
      <c r="C13" s="994" t="s">
        <v>812</v>
      </c>
      <c r="D13" s="995"/>
      <c r="E13" s="269" t="s">
        <v>724</v>
      </c>
      <c r="F13" s="303">
        <f>-CostReim!D21-CostReim!D31</f>
        <v>-53896.15</v>
      </c>
      <c r="G13" s="298"/>
      <c r="H13" s="301"/>
      <c r="I13" s="294"/>
      <c r="J13" s="299"/>
      <c r="K13" s="132" t="s">
        <v>896</v>
      </c>
      <c r="L13" s="407"/>
      <c r="M13" s="130"/>
      <c r="N13" s="130"/>
      <c r="O13" s="130"/>
      <c r="Q13" s="130"/>
      <c r="R13" s="130"/>
    </row>
    <row r="14" spans="1:18" x14ac:dyDescent="0.2">
      <c r="A14" s="296"/>
      <c r="B14" s="235"/>
      <c r="C14" s="421" t="s">
        <v>589</v>
      </c>
      <c r="D14" s="300"/>
      <c r="E14" s="304" t="s">
        <v>559</v>
      </c>
      <c r="F14" s="721">
        <f>'Sched-D2'!F33+'Sched-D2'!H32</f>
        <v>1596861.3800000001</v>
      </c>
      <c r="G14" s="298"/>
      <c r="H14" s="301"/>
      <c r="I14" s="302"/>
      <c r="J14" s="299"/>
      <c r="K14" s="407"/>
      <c r="L14" s="407"/>
      <c r="M14" s="130"/>
      <c r="N14" s="130"/>
      <c r="O14" s="130"/>
      <c r="Q14" s="130"/>
      <c r="R14" s="130"/>
    </row>
    <row r="15" spans="1:18" x14ac:dyDescent="0.2">
      <c r="A15" s="296"/>
      <c r="B15" s="235"/>
      <c r="C15" s="994" t="s">
        <v>721</v>
      </c>
      <c r="D15" s="995"/>
      <c r="E15" s="304"/>
      <c r="F15" s="721">
        <f>-CostReim!D9</f>
        <v>-2882.6</v>
      </c>
      <c r="G15" s="298"/>
      <c r="H15" s="301"/>
      <c r="I15" s="302"/>
      <c r="J15" s="299"/>
      <c r="K15" s="407"/>
      <c r="L15" s="407"/>
      <c r="M15" s="130"/>
      <c r="N15" s="130"/>
      <c r="O15" s="130"/>
      <c r="Q15" s="130"/>
      <c r="R15" s="130"/>
    </row>
    <row r="16" spans="1:18" x14ac:dyDescent="0.2">
      <c r="A16" s="296"/>
      <c r="B16" s="421" t="s">
        <v>591</v>
      </c>
      <c r="D16" s="300"/>
      <c r="E16" s="575" t="s">
        <v>544</v>
      </c>
      <c r="F16" s="721">
        <f>'Sched-D2'!F53+'Sched-D2'!H52</f>
        <v>88549597.289999992</v>
      </c>
      <c r="G16" s="298"/>
      <c r="H16" s="301"/>
      <c r="I16" s="302"/>
      <c r="J16" s="299"/>
      <c r="L16" s="407"/>
      <c r="M16" s="130"/>
      <c r="N16" s="130"/>
      <c r="O16" s="130"/>
      <c r="Q16" s="130"/>
      <c r="R16" s="130"/>
    </row>
    <row r="17" spans="1:18" x14ac:dyDescent="0.2">
      <c r="A17" s="296"/>
      <c r="B17" s="235"/>
      <c r="C17" s="994" t="s">
        <v>796</v>
      </c>
      <c r="D17" s="995"/>
      <c r="E17" s="304" t="s">
        <v>716</v>
      </c>
      <c r="F17" s="721">
        <f>-CostReim!D10</f>
        <v>-54273.13</v>
      </c>
      <c r="G17" s="298"/>
      <c r="H17" s="301"/>
      <c r="I17" s="302"/>
      <c r="J17" s="299"/>
      <c r="K17" s="407"/>
      <c r="L17" s="407"/>
      <c r="M17" s="130"/>
      <c r="N17" s="130"/>
      <c r="O17" s="130"/>
      <c r="Q17" s="130"/>
      <c r="R17" s="130"/>
    </row>
    <row r="18" spans="1:18" x14ac:dyDescent="0.2">
      <c r="A18" s="296"/>
      <c r="B18" s="297"/>
      <c r="C18" s="994" t="s">
        <v>729</v>
      </c>
      <c r="D18" s="995"/>
      <c r="E18" s="269" t="s">
        <v>548</v>
      </c>
      <c r="F18" s="303">
        <f>-CostReim!D11</f>
        <v>-205848</v>
      </c>
      <c r="G18" s="298"/>
      <c r="H18" s="301"/>
      <c r="I18" s="302"/>
      <c r="J18" s="299"/>
      <c r="L18" s="407"/>
      <c r="M18" s="130"/>
      <c r="N18" s="130"/>
      <c r="O18" s="130"/>
      <c r="Q18" s="130"/>
      <c r="R18" s="130"/>
    </row>
    <row r="19" spans="1:18" x14ac:dyDescent="0.2">
      <c r="A19" s="296"/>
      <c r="B19" s="297"/>
      <c r="C19" s="994" t="s">
        <v>525</v>
      </c>
      <c r="D19" s="995"/>
      <c r="E19" s="269" t="s">
        <v>547</v>
      </c>
      <c r="F19" s="303">
        <f>-CostReim!D13</f>
        <v>-251775</v>
      </c>
      <c r="G19" s="298"/>
      <c r="H19" s="301"/>
      <c r="I19" s="302"/>
      <c r="J19" s="299"/>
      <c r="L19" s="407"/>
      <c r="M19" s="130"/>
      <c r="N19" s="130"/>
      <c r="O19" s="130"/>
      <c r="Q19" s="130"/>
      <c r="R19" s="130"/>
    </row>
    <row r="20" spans="1:18" x14ac:dyDescent="0.2">
      <c r="A20" s="296"/>
      <c r="B20" s="903"/>
      <c r="C20" s="994" t="s">
        <v>885</v>
      </c>
      <c r="D20" s="995"/>
      <c r="E20" s="269" t="s">
        <v>876</v>
      </c>
      <c r="F20" s="303">
        <v>-991251.26</v>
      </c>
      <c r="G20" s="298"/>
      <c r="H20" s="301"/>
      <c r="I20" s="302"/>
      <c r="J20" s="299"/>
      <c r="L20" s="407"/>
      <c r="M20" s="130"/>
      <c r="N20" s="130"/>
      <c r="O20" s="130"/>
      <c r="Q20" s="130"/>
      <c r="R20" s="130"/>
    </row>
    <row r="21" spans="1:18" x14ac:dyDescent="0.2">
      <c r="A21" s="296"/>
      <c r="B21" s="297"/>
      <c r="C21" s="994" t="s">
        <v>727</v>
      </c>
      <c r="D21" s="995"/>
      <c r="E21" s="269" t="s">
        <v>548</v>
      </c>
      <c r="F21" s="303">
        <f>-CostReim!D12</f>
        <v>0</v>
      </c>
      <c r="G21" s="298"/>
      <c r="H21" s="301"/>
      <c r="I21" s="302"/>
      <c r="J21" s="299"/>
      <c r="L21" s="407"/>
      <c r="M21" s="130"/>
      <c r="N21" s="130"/>
      <c r="O21" s="130"/>
      <c r="Q21" s="130"/>
      <c r="R21" s="130"/>
    </row>
    <row r="22" spans="1:18" x14ac:dyDescent="0.2">
      <c r="A22" s="296"/>
      <c r="B22" s="421" t="s">
        <v>590</v>
      </c>
      <c r="D22" s="300"/>
      <c r="E22" s="575" t="s">
        <v>573</v>
      </c>
      <c r="F22" s="721">
        <f>'Sched-D2'!F71+'Sched-D2'!H70</f>
        <v>1394768.4300000002</v>
      </c>
      <c r="G22" s="298"/>
      <c r="H22" s="301"/>
      <c r="I22" s="302"/>
      <c r="J22" s="299"/>
      <c r="K22" s="132" t="s">
        <v>813</v>
      </c>
      <c r="L22" s="407"/>
      <c r="M22" s="130"/>
      <c r="N22" s="130"/>
      <c r="O22" s="130"/>
      <c r="Q22" s="130"/>
      <c r="R22" s="130"/>
    </row>
    <row r="23" spans="1:18" x14ac:dyDescent="0.2">
      <c r="A23" s="296"/>
      <c r="B23" s="297"/>
      <c r="C23" s="994" t="s">
        <v>603</v>
      </c>
      <c r="D23" s="995"/>
      <c r="E23" s="269" t="s">
        <v>551</v>
      </c>
      <c r="F23" s="303">
        <f>-CostReim!D15</f>
        <v>-29015.360000000001</v>
      </c>
      <c r="G23" s="298"/>
      <c r="H23" s="301"/>
      <c r="I23" s="302"/>
      <c r="J23" s="299"/>
      <c r="L23" s="407"/>
      <c r="M23" s="130"/>
      <c r="N23" s="130"/>
      <c r="O23" s="130"/>
      <c r="Q23" s="130"/>
      <c r="R23" s="130"/>
    </row>
    <row r="24" spans="1:18" x14ac:dyDescent="0.2">
      <c r="A24" s="296"/>
      <c r="B24" s="297"/>
      <c r="C24" s="994" t="s">
        <v>682</v>
      </c>
      <c r="D24" s="995"/>
      <c r="E24" s="269" t="s">
        <v>583</v>
      </c>
      <c r="F24" s="303">
        <v>0</v>
      </c>
      <c r="G24" s="298"/>
      <c r="H24" s="301"/>
      <c r="I24" s="302"/>
      <c r="J24" s="299"/>
      <c r="K24" s="132" t="s">
        <v>897</v>
      </c>
      <c r="L24" s="407"/>
      <c r="M24" s="130"/>
      <c r="N24" s="130"/>
      <c r="O24" s="130"/>
      <c r="Q24" s="130"/>
      <c r="R24" s="130"/>
    </row>
    <row r="25" spans="1:18" x14ac:dyDescent="0.2">
      <c r="A25" s="296"/>
      <c r="B25" s="286" t="s">
        <v>52</v>
      </c>
      <c r="D25" s="300"/>
      <c r="E25" s="269" t="s">
        <v>560</v>
      </c>
      <c r="F25" s="721">
        <f>'Sched-D2'!F82</f>
        <v>3417454.71</v>
      </c>
      <c r="G25" s="298"/>
      <c r="H25" s="301"/>
      <c r="I25" s="302"/>
      <c r="J25" s="299"/>
      <c r="L25" s="407"/>
      <c r="M25" s="130"/>
      <c r="N25" s="130"/>
      <c r="O25" s="130"/>
      <c r="P25" s="130"/>
      <c r="Q25" s="130"/>
      <c r="R25" s="130"/>
    </row>
    <row r="26" spans="1:18" x14ac:dyDescent="0.2">
      <c r="A26" s="296"/>
      <c r="B26" s="297"/>
      <c r="C26" s="994" t="s">
        <v>604</v>
      </c>
      <c r="D26" s="995"/>
      <c r="E26" s="269" t="s">
        <v>560</v>
      </c>
      <c r="F26" s="303">
        <v>0</v>
      </c>
      <c r="G26" s="298"/>
      <c r="H26" s="301"/>
      <c r="I26" s="302"/>
      <c r="J26" s="299"/>
      <c r="K26" s="132"/>
      <c r="L26" s="407"/>
      <c r="M26" s="130"/>
      <c r="N26" s="130"/>
      <c r="O26" s="130"/>
      <c r="Q26" s="130"/>
      <c r="R26" s="130"/>
    </row>
    <row r="27" spans="1:18" x14ac:dyDescent="0.2">
      <c r="A27" s="296"/>
      <c r="B27" s="300" t="s">
        <v>347</v>
      </c>
      <c r="C27" s="405"/>
      <c r="E27" s="269" t="s">
        <v>561</v>
      </c>
      <c r="F27" s="303">
        <f>'Sched-D2'!F17</f>
        <v>0</v>
      </c>
      <c r="G27" s="298"/>
      <c r="H27" s="298"/>
      <c r="I27" s="298"/>
      <c r="J27" s="305"/>
      <c r="L27" s="407"/>
      <c r="Q27" s="130"/>
      <c r="R27" s="130"/>
    </row>
    <row r="28" spans="1:18" x14ac:dyDescent="0.2">
      <c r="A28" s="296"/>
      <c r="B28" s="421" t="s">
        <v>258</v>
      </c>
      <c r="C28" s="235"/>
      <c r="D28" s="300"/>
      <c r="E28" s="269" t="s">
        <v>562</v>
      </c>
      <c r="F28" s="721">
        <f>'Sched-D2'!F94</f>
        <v>1125904.28</v>
      </c>
      <c r="G28" s="298"/>
      <c r="H28" s="301"/>
      <c r="I28" s="302"/>
      <c r="J28" s="299"/>
      <c r="L28" s="407"/>
      <c r="M28" s="130"/>
      <c r="N28" s="130"/>
    </row>
    <row r="29" spans="1:18" x14ac:dyDescent="0.2">
      <c r="A29" s="296"/>
      <c r="B29" s="421" t="s">
        <v>600</v>
      </c>
      <c r="D29" s="300"/>
      <c r="E29" s="269" t="s">
        <v>553</v>
      </c>
      <c r="F29" s="721">
        <f>'Sched-D2'!F107+'Sched-D2'!H106</f>
        <v>6847249.6100000003</v>
      </c>
      <c r="G29" s="298"/>
      <c r="H29" s="301"/>
      <c r="I29" s="302"/>
      <c r="J29" s="299"/>
      <c r="K29" s="577" t="s">
        <v>563</v>
      </c>
      <c r="L29" s="407"/>
      <c r="M29" s="130"/>
      <c r="N29" s="130"/>
    </row>
    <row r="30" spans="1:18" x14ac:dyDescent="0.2">
      <c r="A30" s="296"/>
      <c r="B30" s="235"/>
      <c r="C30" s="583" t="s">
        <v>605</v>
      </c>
      <c r="D30" s="300"/>
      <c r="E30" s="269"/>
      <c r="F30" s="303">
        <f>-CostReim!D18</f>
        <v>-140000</v>
      </c>
      <c r="G30" s="298"/>
      <c r="H30" s="301"/>
      <c r="I30" s="302"/>
      <c r="J30" s="299"/>
      <c r="L30" s="407"/>
    </row>
    <row r="31" spans="1:18" x14ac:dyDescent="0.2">
      <c r="A31" s="296"/>
      <c r="B31" s="286" t="s">
        <v>259</v>
      </c>
      <c r="C31" s="286"/>
      <c r="D31" s="300"/>
      <c r="E31" s="269" t="s">
        <v>564</v>
      </c>
      <c r="F31" s="303">
        <f>'Sched-D2'!F113</f>
        <v>630111.89</v>
      </c>
      <c r="G31" s="298"/>
      <c r="H31" s="301"/>
      <c r="I31" s="302"/>
      <c r="J31" s="299"/>
      <c r="L31" s="407"/>
    </row>
    <row r="32" spans="1:18" x14ac:dyDescent="0.2">
      <c r="A32" s="296"/>
      <c r="B32" s="421" t="s">
        <v>599</v>
      </c>
      <c r="C32" s="235"/>
      <c r="D32" s="300"/>
      <c r="E32" s="269" t="s">
        <v>565</v>
      </c>
      <c r="F32" s="303">
        <f>'Sched-D2'!F138+'Sched-D2'!H137</f>
        <v>1309095.1599999999</v>
      </c>
      <c r="G32" s="298"/>
      <c r="H32" s="301"/>
      <c r="I32" s="302"/>
      <c r="J32" s="299"/>
      <c r="K32" s="407"/>
      <c r="L32" s="407"/>
    </row>
    <row r="33" spans="1:12" x14ac:dyDescent="0.2">
      <c r="A33" s="296"/>
      <c r="B33" s="421"/>
      <c r="C33" s="994" t="s">
        <v>755</v>
      </c>
      <c r="D33" s="995"/>
      <c r="E33" s="269"/>
      <c r="F33" s="303">
        <f>-CostReim!D34</f>
        <v>-566339.97</v>
      </c>
      <c r="G33" s="298"/>
      <c r="H33" s="301"/>
      <c r="I33" s="302"/>
      <c r="J33" s="299"/>
      <c r="K33" s="132" t="s">
        <v>756</v>
      </c>
      <c r="L33" s="407"/>
    </row>
    <row r="34" spans="1:12" x14ac:dyDescent="0.2">
      <c r="A34" s="296"/>
      <c r="B34" s="421" t="s">
        <v>584</v>
      </c>
      <c r="C34" s="235"/>
      <c r="D34" s="300"/>
      <c r="E34" s="289"/>
      <c r="F34" s="721">
        <f>'Sched-F-G'!D41</f>
        <v>9172373.4855864011</v>
      </c>
      <c r="G34" s="298"/>
      <c r="H34" s="301"/>
      <c r="I34" s="302"/>
      <c r="J34" s="299"/>
      <c r="K34" s="407"/>
    </row>
    <row r="35" spans="1:12" x14ac:dyDescent="0.2">
      <c r="A35" s="296"/>
      <c r="B35" s="421" t="s">
        <v>620</v>
      </c>
      <c r="C35" s="590"/>
      <c r="D35" s="165"/>
      <c r="E35" s="269" t="s">
        <v>619</v>
      </c>
      <c r="F35" s="298"/>
      <c r="G35" s="298">
        <v>14265202.16</v>
      </c>
      <c r="H35" s="293">
        <f t="shared" ref="H35" si="0">G35/$G$42</f>
        <v>3.2672193506753988E-2</v>
      </c>
      <c r="I35" s="302">
        <f>$I$4*H35</f>
        <v>491311.82305260509</v>
      </c>
      <c r="J35" s="299">
        <f>SUM(I35+G35)</f>
        <v>14756513.983052606</v>
      </c>
    </row>
    <row r="36" spans="1:12" x14ac:dyDescent="0.2">
      <c r="A36" s="296"/>
      <c r="B36" s="421" t="s">
        <v>592</v>
      </c>
      <c r="C36" s="590"/>
      <c r="D36" s="165"/>
      <c r="E36" s="269" t="s">
        <v>566</v>
      </c>
      <c r="F36" s="298"/>
      <c r="G36" s="298">
        <v>9808520</v>
      </c>
      <c r="H36" s="293">
        <f t="shared" ref="H36:H41" si="1">G36/$G$42</f>
        <v>2.2464866593581219E-2</v>
      </c>
      <c r="I36" s="302">
        <f>$I$4*H36</f>
        <v>337817.98453306593</v>
      </c>
      <c r="J36" s="299">
        <f>SUM(I36+G36)</f>
        <v>10146337.984533066</v>
      </c>
    </row>
    <row r="37" spans="1:12" x14ac:dyDescent="0.2">
      <c r="A37" s="296"/>
      <c r="B37" s="421" t="s">
        <v>593</v>
      </c>
      <c r="C37" s="235"/>
      <c r="D37" s="165"/>
      <c r="E37" s="269" t="s">
        <v>567</v>
      </c>
      <c r="F37" s="306"/>
      <c r="G37" s="298">
        <v>1112721.72</v>
      </c>
      <c r="H37" s="293">
        <f t="shared" si="1"/>
        <v>2.5485134348077216E-3</v>
      </c>
      <c r="I37" s="302">
        <f t="shared" ref="I37:I41" si="2">$I$4*H37</f>
        <v>38323.560414472973</v>
      </c>
      <c r="J37" s="299">
        <f t="shared" ref="J37:J41" si="3">SUM(I37+G37)</f>
        <v>1151045.280414473</v>
      </c>
      <c r="K37" s="132" t="s">
        <v>898</v>
      </c>
    </row>
    <row r="38" spans="1:12" x14ac:dyDescent="0.2">
      <c r="A38" s="296"/>
      <c r="B38" s="421" t="s">
        <v>594</v>
      </c>
      <c r="C38" s="590"/>
      <c r="D38" s="165"/>
      <c r="E38" s="269" t="s">
        <v>568</v>
      </c>
      <c r="F38" s="306"/>
      <c r="G38" s="298">
        <v>18386506.870000001</v>
      </c>
      <c r="H38" s="293">
        <f t="shared" si="1"/>
        <v>4.2111391316581363E-2</v>
      </c>
      <c r="I38" s="302">
        <f t="shared" si="2"/>
        <v>633254.83288271527</v>
      </c>
      <c r="J38" s="299">
        <f t="shared" si="3"/>
        <v>19019761.702882715</v>
      </c>
      <c r="K38" s="576"/>
      <c r="L38" s="132"/>
    </row>
    <row r="39" spans="1:12" x14ac:dyDescent="0.2">
      <c r="A39" s="296"/>
      <c r="B39" s="421" t="s">
        <v>595</v>
      </c>
      <c r="C39" s="235"/>
      <c r="D39" s="165"/>
      <c r="E39" s="269" t="s">
        <v>569</v>
      </c>
      <c r="F39" s="298"/>
      <c r="G39" s="298">
        <v>145374.99</v>
      </c>
      <c r="H39" s="293">
        <f t="shared" si="1"/>
        <v>3.3295846431400495E-4</v>
      </c>
      <c r="I39" s="302">
        <f t="shared" si="2"/>
        <v>5006.9007478513186</v>
      </c>
      <c r="J39" s="299">
        <f t="shared" si="3"/>
        <v>150381.89074785131</v>
      </c>
    </row>
    <row r="40" spans="1:12" x14ac:dyDescent="0.2">
      <c r="A40" s="296"/>
      <c r="B40" s="421" t="s">
        <v>126</v>
      </c>
      <c r="C40" s="235"/>
      <c r="D40" s="165"/>
      <c r="E40" s="269" t="s">
        <v>570</v>
      </c>
      <c r="F40" s="298"/>
      <c r="G40" s="298">
        <v>2641145.89</v>
      </c>
      <c r="H40" s="293">
        <f t="shared" si="1"/>
        <v>6.0491277045910431E-3</v>
      </c>
      <c r="I40" s="302">
        <f t="shared" si="2"/>
        <v>90964.445341151426</v>
      </c>
      <c r="J40" s="299">
        <f>SUM(I40+G40)</f>
        <v>2732110.3353411513</v>
      </c>
      <c r="K40" s="576"/>
      <c r="L40" s="132"/>
    </row>
    <row r="41" spans="1:12" ht="13.5" thickBot="1" x14ac:dyDescent="0.25">
      <c r="A41" s="296"/>
      <c r="B41" s="421" t="s">
        <v>231</v>
      </c>
      <c r="D41" s="165"/>
      <c r="E41" s="269" t="s">
        <v>571</v>
      </c>
      <c r="F41" s="298"/>
      <c r="G41" s="298">
        <v>23233718.420000002</v>
      </c>
      <c r="H41" s="293">
        <f t="shared" si="1"/>
        <v>5.3213164144858827E-2</v>
      </c>
      <c r="I41" s="302">
        <f t="shared" si="2"/>
        <v>800199.00350441958</v>
      </c>
      <c r="J41" s="299">
        <f t="shared" si="3"/>
        <v>24033917.42350442</v>
      </c>
    </row>
    <row r="42" spans="1:12" s="132" customFormat="1" ht="16.5" customHeight="1" thickBot="1" x14ac:dyDescent="0.25">
      <c r="A42" s="989" t="s">
        <v>596</v>
      </c>
      <c r="B42" s="990"/>
      <c r="C42" s="990"/>
      <c r="D42" s="332"/>
      <c r="E42" s="333"/>
      <c r="F42" s="334"/>
      <c r="G42" s="334">
        <f>SUM(G3:G41)</f>
        <v>436615991.4255864</v>
      </c>
      <c r="H42" s="335">
        <f>SUM(H3:H41)</f>
        <v>1</v>
      </c>
      <c r="I42" s="336">
        <f>SUM(I6:I41)</f>
        <v>15037613.649999997</v>
      </c>
      <c r="J42" s="671">
        <f>SUM(J7:J41)</f>
        <v>451653605.07558632</v>
      </c>
      <c r="K42" s="337"/>
      <c r="L42" s="408"/>
    </row>
    <row r="43" spans="1:12" ht="16.5" thickTop="1" x14ac:dyDescent="0.25">
      <c r="A43" s="296"/>
      <c r="B43" s="235"/>
      <c r="C43" s="139" t="s">
        <v>601</v>
      </c>
      <c r="D43" s="300"/>
      <c r="E43" s="289"/>
      <c r="F43" s="166"/>
      <c r="G43" s="269"/>
      <c r="H43" s="293"/>
      <c r="I43" s="166"/>
      <c r="J43" s="305"/>
      <c r="K43" s="407"/>
    </row>
    <row r="44" spans="1:12" x14ac:dyDescent="0.2">
      <c r="A44" s="296"/>
      <c r="B44" s="235"/>
      <c r="C44" s="421" t="s">
        <v>602</v>
      </c>
      <c r="D44" s="300"/>
      <c r="E44" s="307"/>
      <c r="F44" s="726">
        <f>445861383.35</f>
        <v>445861383.35000002</v>
      </c>
      <c r="G44" s="298"/>
      <c r="H44" s="298"/>
      <c r="I44" s="166"/>
      <c r="J44" s="305"/>
      <c r="K44" s="822" t="s">
        <v>892</v>
      </c>
    </row>
    <row r="45" spans="1:12" x14ac:dyDescent="0.2">
      <c r="A45" s="296"/>
      <c r="B45" s="235"/>
      <c r="C45" s="421" t="s">
        <v>582</v>
      </c>
      <c r="D45" s="300"/>
      <c r="E45" s="269"/>
      <c r="F45" s="298">
        <f>F34</f>
        <v>9172373.4855864011</v>
      </c>
      <c r="G45" s="298"/>
      <c r="H45" s="298"/>
      <c r="I45" s="166"/>
      <c r="J45" s="305"/>
      <c r="K45" s="577" t="s">
        <v>890</v>
      </c>
    </row>
    <row r="46" spans="1:12" x14ac:dyDescent="0.2">
      <c r="A46" s="296"/>
      <c r="B46" s="235"/>
      <c r="C46" s="235"/>
      <c r="D46" s="165" t="s">
        <v>597</v>
      </c>
      <c r="E46" s="269" t="s">
        <v>572</v>
      </c>
      <c r="F46" s="303">
        <v>0</v>
      </c>
      <c r="G46" s="298"/>
      <c r="H46" s="298"/>
      <c r="I46" s="298"/>
      <c r="J46" s="305"/>
      <c r="K46" s="132"/>
    </row>
    <row r="47" spans="1:12" x14ac:dyDescent="0.2">
      <c r="A47" s="296"/>
      <c r="B47" s="235"/>
      <c r="C47" s="421" t="s">
        <v>140</v>
      </c>
      <c r="D47" s="584" t="s">
        <v>882</v>
      </c>
      <c r="E47" s="269" t="s">
        <v>537</v>
      </c>
      <c r="F47" s="303">
        <v>-425096.25</v>
      </c>
      <c r="G47" s="298"/>
      <c r="H47" s="298"/>
      <c r="I47" s="298"/>
      <c r="J47" s="305"/>
    </row>
    <row r="48" spans="1:12" x14ac:dyDescent="0.2">
      <c r="A48" s="296"/>
      <c r="B48" s="235"/>
      <c r="C48" s="286"/>
      <c r="D48" s="584" t="s">
        <v>881</v>
      </c>
      <c r="E48" s="269" t="s">
        <v>536</v>
      </c>
      <c r="F48" s="303">
        <v>-257037.53</v>
      </c>
      <c r="G48" s="298"/>
      <c r="H48" s="298"/>
      <c r="I48" s="298"/>
      <c r="J48" s="305"/>
      <c r="L48" s="407"/>
    </row>
    <row r="49" spans="1:12" x14ac:dyDescent="0.2">
      <c r="A49" s="296"/>
      <c r="B49" s="235"/>
      <c r="C49" s="421"/>
      <c r="D49" s="584" t="s">
        <v>717</v>
      </c>
      <c r="E49" s="269" t="s">
        <v>536</v>
      </c>
      <c r="F49" s="303">
        <v>0</v>
      </c>
      <c r="G49" s="298"/>
      <c r="H49" s="298"/>
      <c r="I49" s="298"/>
      <c r="J49" s="305"/>
      <c r="L49" s="407"/>
    </row>
    <row r="50" spans="1:12" x14ac:dyDescent="0.2">
      <c r="A50" s="296"/>
      <c r="B50" s="235"/>
      <c r="C50" s="421"/>
      <c r="D50" s="701" t="s">
        <v>721</v>
      </c>
      <c r="E50" s="269" t="s">
        <v>538</v>
      </c>
      <c r="F50" s="303">
        <v>0</v>
      </c>
      <c r="G50" s="298"/>
      <c r="H50" s="298"/>
      <c r="I50" s="298"/>
      <c r="J50" s="305"/>
    </row>
    <row r="51" spans="1:12" x14ac:dyDescent="0.2">
      <c r="A51" s="296"/>
      <c r="B51" s="235"/>
      <c r="C51" s="421"/>
      <c r="D51" s="584" t="s">
        <v>417</v>
      </c>
      <c r="E51" s="269" t="s">
        <v>722</v>
      </c>
      <c r="F51" s="303">
        <v>-2882.6</v>
      </c>
      <c r="G51" s="298"/>
      <c r="H51" s="298"/>
      <c r="I51" s="298"/>
      <c r="J51" s="305"/>
      <c r="K51" s="407"/>
    </row>
    <row r="52" spans="1:12" x14ac:dyDescent="0.2">
      <c r="A52" s="296"/>
      <c r="B52" s="235"/>
      <c r="C52" s="421"/>
      <c r="D52" s="584" t="s">
        <v>726</v>
      </c>
      <c r="E52" s="269" t="s">
        <v>553</v>
      </c>
      <c r="F52" s="303">
        <v>-140000</v>
      </c>
      <c r="G52" s="298"/>
      <c r="H52" s="298"/>
      <c r="I52" s="298"/>
      <c r="J52" s="305"/>
    </row>
    <row r="53" spans="1:12" x14ac:dyDescent="0.2">
      <c r="A53" s="296"/>
      <c r="B53" s="235"/>
      <c r="C53" s="286"/>
      <c r="D53" s="584" t="s">
        <v>725</v>
      </c>
      <c r="E53" s="269" t="str">
        <f>E13</f>
        <v>JAMC /JYKC</v>
      </c>
      <c r="F53" s="303">
        <v>-53896.15</v>
      </c>
      <c r="G53" s="298"/>
      <c r="H53" s="298"/>
      <c r="I53" s="298"/>
      <c r="J53" s="305"/>
    </row>
    <row r="54" spans="1:12" x14ac:dyDescent="0.2">
      <c r="A54" s="296"/>
      <c r="B54" s="235"/>
      <c r="C54" s="286"/>
      <c r="D54" s="584" t="s">
        <v>719</v>
      </c>
      <c r="E54" s="269" t="s">
        <v>556</v>
      </c>
      <c r="F54" s="303">
        <v>-373845.31</v>
      </c>
      <c r="G54" s="298"/>
      <c r="H54" s="298"/>
      <c r="I54" s="298"/>
      <c r="J54" s="305"/>
    </row>
    <row r="55" spans="1:12" x14ac:dyDescent="0.2">
      <c r="A55" s="296"/>
      <c r="B55" s="235"/>
      <c r="C55" s="286"/>
      <c r="D55" s="584" t="s">
        <v>617</v>
      </c>
      <c r="E55" s="269" t="s">
        <v>718</v>
      </c>
      <c r="F55" s="303">
        <v>-28891.200000000001</v>
      </c>
      <c r="G55" s="298"/>
      <c r="H55" s="298"/>
      <c r="I55" s="298"/>
      <c r="J55" s="305"/>
    </row>
    <row r="56" spans="1:12" x14ac:dyDescent="0.2">
      <c r="A56" s="296"/>
      <c r="B56" s="235"/>
      <c r="C56" s="286"/>
      <c r="D56" s="584" t="s">
        <v>624</v>
      </c>
      <c r="E56" s="269" t="s">
        <v>558</v>
      </c>
      <c r="F56" s="303">
        <f>F10</f>
        <v>0</v>
      </c>
      <c r="G56" s="298"/>
      <c r="H56" s="298"/>
      <c r="I56" s="298"/>
      <c r="J56" s="305"/>
      <c r="L56" s="407"/>
    </row>
    <row r="57" spans="1:12" x14ac:dyDescent="0.2">
      <c r="A57" s="296"/>
      <c r="B57" s="235"/>
      <c r="C57" s="286"/>
      <c r="D57" s="584" t="s">
        <v>797</v>
      </c>
      <c r="E57" s="269" t="s">
        <v>623</v>
      </c>
      <c r="F57" s="303">
        <v>-54273.13</v>
      </c>
      <c r="G57" s="298"/>
      <c r="H57" s="298"/>
      <c r="I57" s="298"/>
      <c r="J57" s="305"/>
    </row>
    <row r="58" spans="1:12" x14ac:dyDescent="0.2">
      <c r="A58" s="296"/>
      <c r="B58" s="235"/>
      <c r="C58" s="235"/>
      <c r="D58" s="584" t="s">
        <v>883</v>
      </c>
      <c r="E58" s="269" t="s">
        <v>716</v>
      </c>
      <c r="F58" s="303">
        <v>-991251.26</v>
      </c>
      <c r="G58" s="298"/>
      <c r="H58" s="298"/>
      <c r="I58" s="298"/>
      <c r="J58" s="305"/>
    </row>
    <row r="59" spans="1:12" x14ac:dyDescent="0.2">
      <c r="A59" s="296"/>
      <c r="B59" s="235"/>
      <c r="C59" s="235"/>
      <c r="D59" s="584" t="s">
        <v>678</v>
      </c>
      <c r="E59" s="269" t="s">
        <v>567</v>
      </c>
      <c r="F59" s="303">
        <f>-CostReim!D8</f>
        <v>0</v>
      </c>
      <c r="G59" s="298"/>
      <c r="H59" s="298"/>
      <c r="I59" s="298"/>
      <c r="J59" s="305"/>
      <c r="K59" s="576"/>
    </row>
    <row r="60" spans="1:12" x14ac:dyDescent="0.2">
      <c r="A60" s="296"/>
      <c r="B60" s="235"/>
      <c r="C60" s="235"/>
      <c r="D60" s="584" t="s">
        <v>884</v>
      </c>
      <c r="E60" s="269" t="s">
        <v>583</v>
      </c>
      <c r="F60" s="303">
        <v>-29015.360000000001</v>
      </c>
      <c r="G60" s="298"/>
      <c r="H60" s="298"/>
      <c r="I60" s="298"/>
      <c r="J60" s="305"/>
      <c r="L60" s="407"/>
    </row>
    <row r="61" spans="1:12" x14ac:dyDescent="0.2">
      <c r="A61" s="296"/>
      <c r="B61" s="235"/>
      <c r="C61" s="235"/>
      <c r="D61" s="584" t="s">
        <v>730</v>
      </c>
      <c r="E61" s="269" t="s">
        <v>548</v>
      </c>
      <c r="F61" s="303">
        <v>-205848</v>
      </c>
      <c r="G61" s="298"/>
      <c r="H61" s="298"/>
      <c r="I61" s="298"/>
      <c r="J61" s="305"/>
      <c r="L61" s="407"/>
    </row>
    <row r="62" spans="1:12" x14ac:dyDescent="0.2">
      <c r="A62" s="296"/>
      <c r="B62" s="235"/>
      <c r="C62" s="235"/>
      <c r="D62" s="584" t="s">
        <v>585</v>
      </c>
      <c r="E62" s="269" t="s">
        <v>547</v>
      </c>
      <c r="F62" s="303">
        <v>-251775</v>
      </c>
      <c r="G62" s="298"/>
      <c r="H62" s="298"/>
      <c r="I62" s="298"/>
      <c r="J62" s="305"/>
    </row>
    <row r="63" spans="1:12" x14ac:dyDescent="0.2">
      <c r="A63" s="296"/>
      <c r="B63" s="235"/>
      <c r="C63" s="235"/>
      <c r="D63" s="584" t="s">
        <v>728</v>
      </c>
      <c r="E63" s="269" t="s">
        <v>548</v>
      </c>
      <c r="F63" s="303">
        <f>F21</f>
        <v>0</v>
      </c>
      <c r="G63" s="298"/>
      <c r="H63" s="298"/>
      <c r="I63" s="298"/>
      <c r="J63" s="305"/>
      <c r="K63" s="576" t="s">
        <v>840</v>
      </c>
    </row>
    <row r="64" spans="1:12" x14ac:dyDescent="0.2">
      <c r="A64" s="296"/>
      <c r="B64" s="235"/>
      <c r="C64" s="235"/>
      <c r="D64" s="584" t="s">
        <v>757</v>
      </c>
      <c r="E64" s="269" t="s">
        <v>551</v>
      </c>
      <c r="F64" s="303">
        <v>0</v>
      </c>
      <c r="G64" s="298"/>
      <c r="H64" s="298"/>
      <c r="I64" s="298"/>
      <c r="J64" s="305"/>
      <c r="K64" s="407"/>
    </row>
    <row r="65" spans="1:12" x14ac:dyDescent="0.2">
      <c r="A65" s="625"/>
      <c r="B65" s="626"/>
      <c r="C65" s="626"/>
      <c r="D65" s="584" t="s">
        <v>678</v>
      </c>
      <c r="E65" s="269" t="s">
        <v>565</v>
      </c>
      <c r="F65" s="628">
        <v>-566339.97</v>
      </c>
      <c r="G65" s="629"/>
      <c r="H65" s="629"/>
      <c r="I65" s="629"/>
      <c r="J65" s="630"/>
      <c r="K65" s="576" t="s">
        <v>886</v>
      </c>
    </row>
    <row r="66" spans="1:12" x14ac:dyDescent="0.2">
      <c r="A66" s="625"/>
      <c r="B66" s="626"/>
      <c r="C66" s="626"/>
      <c r="D66" s="584" t="s">
        <v>891</v>
      </c>
      <c r="E66" s="627" t="s">
        <v>893</v>
      </c>
      <c r="F66" s="628">
        <v>0</v>
      </c>
      <c r="G66" s="629"/>
      <c r="H66" s="629"/>
      <c r="I66" s="629"/>
      <c r="J66" s="630"/>
      <c r="K66" s="576"/>
    </row>
    <row r="67" spans="1:12" x14ac:dyDescent="0.2">
      <c r="A67" s="625"/>
      <c r="B67" s="626"/>
      <c r="C67" s="626"/>
      <c r="D67" s="584" t="s">
        <v>684</v>
      </c>
      <c r="E67" s="627" t="s">
        <v>558</v>
      </c>
      <c r="F67" s="628">
        <v>0</v>
      </c>
      <c r="G67" s="629"/>
      <c r="H67" s="629"/>
      <c r="I67" s="629"/>
      <c r="J67" s="630"/>
      <c r="K67" s="576"/>
    </row>
    <row r="68" spans="1:12" ht="15.75" customHeight="1" thickBot="1" x14ac:dyDescent="0.25">
      <c r="A68" s="585" t="s">
        <v>596</v>
      </c>
      <c r="B68" s="331"/>
      <c r="C68" s="328" t="s">
        <v>0</v>
      </c>
      <c r="D68" s="329"/>
      <c r="E68" s="330"/>
      <c r="F68" s="670">
        <f>SUM(F44:F67)</f>
        <v>451653605.07558644</v>
      </c>
      <c r="G68" s="308"/>
      <c r="H68" s="308"/>
      <c r="I68" s="308"/>
      <c r="J68" s="309"/>
      <c r="K68" s="407"/>
    </row>
    <row r="69" spans="1:12" ht="13.5" thickBot="1" x14ac:dyDescent="0.25">
      <c r="A69" s="119"/>
      <c r="B69" s="119"/>
      <c r="C69" s="310"/>
      <c r="E69" s="310"/>
      <c r="G69" s="311"/>
      <c r="H69" s="312"/>
      <c r="I69" s="312"/>
      <c r="J69" s="313"/>
      <c r="K69" s="407"/>
    </row>
    <row r="70" spans="1:12" x14ac:dyDescent="0.2">
      <c r="F70" s="587">
        <f>F68-J42</f>
        <v>0</v>
      </c>
      <c r="G70" s="588" t="s">
        <v>531</v>
      </c>
      <c r="K70" s="407"/>
    </row>
    <row r="71" spans="1:12" x14ac:dyDescent="0.2">
      <c r="A71" s="236" t="s">
        <v>899</v>
      </c>
      <c r="K71" s="407"/>
      <c r="L71" s="130"/>
    </row>
    <row r="72" spans="1:12" x14ac:dyDescent="0.2">
      <c r="K72" s="407"/>
    </row>
    <row r="73" spans="1:12" x14ac:dyDescent="0.2">
      <c r="F73" s="233"/>
      <c r="K73" s="407"/>
    </row>
    <row r="74" spans="1:12" x14ac:dyDescent="0.2">
      <c r="F74" s="780">
        <f>CostReim!D35</f>
        <v>3380151.76</v>
      </c>
      <c r="G74" s="781" t="s">
        <v>758</v>
      </c>
      <c r="K74" s="407"/>
    </row>
    <row r="75" spans="1:12" x14ac:dyDescent="0.2">
      <c r="F75" s="780">
        <f>SUM(F47:F65)</f>
        <v>-3380151.76</v>
      </c>
      <c r="G75" s="781" t="s">
        <v>759</v>
      </c>
      <c r="K75" s="407"/>
    </row>
    <row r="76" spans="1:12" x14ac:dyDescent="0.2">
      <c r="F76" s="780">
        <f>F74+F75</f>
        <v>0</v>
      </c>
      <c r="G76" s="781" t="s">
        <v>531</v>
      </c>
      <c r="K76" s="407"/>
    </row>
    <row r="77" spans="1:12" x14ac:dyDescent="0.2">
      <c r="F77" s="314"/>
      <c r="G77" s="316"/>
      <c r="J77" s="407"/>
      <c r="K77" s="407"/>
    </row>
    <row r="78" spans="1:12" x14ac:dyDescent="0.2">
      <c r="F78" s="314"/>
    </row>
    <row r="79" spans="1:12" x14ac:dyDescent="0.2">
      <c r="F79" s="315"/>
    </row>
    <row r="80" spans="1:12" x14ac:dyDescent="0.2">
      <c r="F80" s="315"/>
    </row>
    <row r="81" spans="6:7" x14ac:dyDescent="0.2">
      <c r="F81" s="315"/>
    </row>
    <row r="82" spans="6:7" x14ac:dyDescent="0.2">
      <c r="F82" s="315"/>
    </row>
    <row r="83" spans="6:7" x14ac:dyDescent="0.2">
      <c r="F83" s="315"/>
    </row>
    <row r="84" spans="6:7" x14ac:dyDescent="0.2">
      <c r="F84" s="315"/>
    </row>
    <row r="85" spans="6:7" x14ac:dyDescent="0.2">
      <c r="F85" s="315"/>
    </row>
    <row r="86" spans="6:7" x14ac:dyDescent="0.2">
      <c r="F86" s="315"/>
    </row>
    <row r="87" spans="6:7" x14ac:dyDescent="0.2">
      <c r="F87" s="315"/>
    </row>
    <row r="88" spans="6:7" x14ac:dyDescent="0.2">
      <c r="F88" s="315"/>
      <c r="G88" s="316"/>
    </row>
  </sheetData>
  <mergeCells count="19">
    <mergeCell ref="C17:D17"/>
    <mergeCell ref="A1:J1"/>
    <mergeCell ref="C23:D23"/>
    <mergeCell ref="A42:C42"/>
    <mergeCell ref="F2:G2"/>
    <mergeCell ref="A2:C2"/>
    <mergeCell ref="C13:D13"/>
    <mergeCell ref="C21:D21"/>
    <mergeCell ref="C18:D18"/>
    <mergeCell ref="C9:D9"/>
    <mergeCell ref="C12:D12"/>
    <mergeCell ref="C26:D26"/>
    <mergeCell ref="C19:D19"/>
    <mergeCell ref="C24:D24"/>
    <mergeCell ref="C10:D10"/>
    <mergeCell ref="C20:D20"/>
    <mergeCell ref="C11:D11"/>
    <mergeCell ref="C15:D15"/>
    <mergeCell ref="C33:D33"/>
  </mergeCells>
  <phoneticPr fontId="22" type="noConversion"/>
  <printOptions horizontalCentered="1"/>
  <pageMargins left="0" right="0" top="1.25" bottom="1" header="0.33" footer="0.5"/>
  <pageSetup orientation="landscape" r:id="rId1"/>
  <headerFooter alignWithMargins="0">
    <oddHeader>&amp;C&amp;"Arial,Bold"&amp;12DEPARTMENT OF CORRECTIONS
 2025 COST OF CARE 
(Based on FY2024 Actuals)</oddHeader>
    <oddFooter>&amp;L&amp;8&amp;F &amp;A&amp;C&amp;8&amp;P of &amp;N&amp;R&amp;8&amp;D</oddFooter>
  </headerFooter>
  <rowBreaks count="1" manualBreakCount="1">
    <brk id="42"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59999389629810485"/>
    <pageSetUpPr fitToPage="1"/>
  </sheetPr>
  <dimension ref="A1:O56"/>
  <sheetViews>
    <sheetView showGridLines="0" topLeftCell="A6" workbookViewId="0">
      <selection activeCell="A34" sqref="A34:XFD34"/>
    </sheetView>
  </sheetViews>
  <sheetFormatPr defaultColWidth="9.140625" defaultRowHeight="12.75" x14ac:dyDescent="0.2"/>
  <cols>
    <col min="1" max="1" width="4.28515625" style="101" customWidth="1"/>
    <col min="2" max="2" width="27.28515625" style="101" customWidth="1"/>
    <col min="3" max="3" width="16.140625" style="101" customWidth="1"/>
    <col min="4" max="4" width="20.42578125" style="101" customWidth="1"/>
    <col min="5" max="5" width="18.28515625" style="101" bestFit="1" customWidth="1"/>
    <col min="6" max="6" width="19.85546875" style="101" bestFit="1" customWidth="1"/>
    <col min="7" max="7" width="14.140625" style="101" bestFit="1" customWidth="1"/>
    <col min="8" max="8" width="13.7109375" style="409" customWidth="1"/>
    <col min="9" max="9" width="10.5703125" style="101" bestFit="1" customWidth="1"/>
    <col min="10" max="10" width="13.85546875" style="101" customWidth="1"/>
    <col min="11" max="11" width="12.42578125" style="101" bestFit="1" customWidth="1"/>
    <col min="12" max="12" width="10.28515625" style="101" bestFit="1" customWidth="1"/>
    <col min="13" max="14" width="9.140625" style="101"/>
    <col min="15" max="15" width="15.42578125" style="101" customWidth="1"/>
    <col min="16" max="16384" width="9.140625" style="101"/>
  </cols>
  <sheetData>
    <row r="1" spans="1:15" ht="30" customHeight="1" x14ac:dyDescent="0.2">
      <c r="A1" s="997" t="s">
        <v>146</v>
      </c>
      <c r="B1" s="997"/>
      <c r="C1" s="997"/>
      <c r="D1" s="997"/>
      <c r="E1" s="997"/>
      <c r="F1" s="997"/>
      <c r="G1" s="997"/>
      <c r="H1" s="414"/>
    </row>
    <row r="2" spans="1:15" ht="28.5" customHeight="1" thickBot="1" x14ac:dyDescent="0.25">
      <c r="A2" s="339" t="s">
        <v>135</v>
      </c>
      <c r="B2" s="339"/>
      <c r="C2" s="339"/>
      <c r="E2" s="809">
        <f>'Qtrly''s-Cntsht Book'!Y19</f>
        <v>1627449.5</v>
      </c>
      <c r="F2" s="904"/>
    </row>
    <row r="3" spans="1:15" s="268" customFormat="1" ht="19.5" customHeight="1" thickBot="1" x14ac:dyDescent="0.25">
      <c r="A3" s="1000" t="s">
        <v>139</v>
      </c>
      <c r="B3" s="1001"/>
      <c r="C3" s="1002" t="s">
        <v>142</v>
      </c>
      <c r="D3" s="1002"/>
      <c r="E3" s="357" t="s">
        <v>145</v>
      </c>
      <c r="F3" s="357" t="s">
        <v>144</v>
      </c>
      <c r="G3" s="358" t="s">
        <v>148</v>
      </c>
      <c r="H3" s="410"/>
      <c r="I3" s="359"/>
    </row>
    <row r="4" spans="1:15" x14ac:dyDescent="0.2">
      <c r="A4" s="395" t="s">
        <v>91</v>
      </c>
      <c r="B4" s="392"/>
      <c r="C4" s="396"/>
      <c r="D4" s="397">
        <f>SUM(C5:C7)</f>
        <v>255677403.12</v>
      </c>
      <c r="E4" s="393"/>
      <c r="F4" s="393">
        <f>SUM(D4+E5+E6+E7)</f>
        <v>241647337.58000001</v>
      </c>
      <c r="G4" s="394">
        <f>F4/$E$2</f>
        <v>148.48223406010447</v>
      </c>
      <c r="H4" s="411"/>
    </row>
    <row r="5" spans="1:15" x14ac:dyDescent="0.2">
      <c r="A5" s="296"/>
      <c r="B5" s="165" t="s">
        <v>818</v>
      </c>
      <c r="C5" s="340">
        <f>'COST ALLOCATION'!F8</f>
        <v>255677403.12</v>
      </c>
      <c r="D5" s="340"/>
      <c r="E5" s="380">
        <v>-13573432.880000001</v>
      </c>
      <c r="F5" s="340"/>
      <c r="G5" s="341"/>
      <c r="H5" s="411"/>
      <c r="O5" s="887"/>
    </row>
    <row r="6" spans="1:15" x14ac:dyDescent="0.2">
      <c r="A6" s="296"/>
      <c r="B6" s="342" t="s">
        <v>302</v>
      </c>
      <c r="C6" s="340"/>
      <c r="D6" s="340"/>
      <c r="E6" s="380">
        <f>'COST ALLOCATION'!F13+'COST ALLOCATION'!F9</f>
        <v>-427741.46</v>
      </c>
      <c r="F6" s="340"/>
      <c r="G6" s="341"/>
      <c r="H6" s="411"/>
    </row>
    <row r="7" spans="1:15" x14ac:dyDescent="0.2">
      <c r="A7" s="296"/>
      <c r="B7" s="342" t="s">
        <v>731</v>
      </c>
      <c r="C7" s="702"/>
      <c r="D7" s="340"/>
      <c r="E7" s="380">
        <f>'COST ALLOCATION'!F11</f>
        <v>-28891.200000000001</v>
      </c>
      <c r="F7" s="340"/>
      <c r="G7" s="341"/>
      <c r="H7" s="411"/>
    </row>
    <row r="8" spans="1:15" x14ac:dyDescent="0.2">
      <c r="A8" s="395" t="s">
        <v>576</v>
      </c>
      <c r="B8" s="392"/>
      <c r="C8" s="340">
        <f>'COST ALLOCATION'!F22</f>
        <v>1394768.4300000002</v>
      </c>
      <c r="D8" s="393">
        <f>SUM(C8:C8)</f>
        <v>1394768.4300000002</v>
      </c>
      <c r="E8" s="393"/>
      <c r="F8" s="393">
        <f>SUM(D8,E9)</f>
        <v>1365753.07</v>
      </c>
      <c r="G8" s="394">
        <f>F8/$E$2</f>
        <v>0.83919843288532148</v>
      </c>
      <c r="H8" s="411"/>
    </row>
    <row r="9" spans="1:15" x14ac:dyDescent="0.2">
      <c r="A9" s="296"/>
      <c r="B9" s="623" t="s">
        <v>681</v>
      </c>
      <c r="D9" s="340"/>
      <c r="E9" s="380">
        <f>'COST ALLOCATION'!F23+'COST ALLOCATION'!F24</f>
        <v>-29015.360000000001</v>
      </c>
      <c r="F9" s="343"/>
      <c r="G9" s="344"/>
      <c r="H9" s="411"/>
    </row>
    <row r="10" spans="1:15" x14ac:dyDescent="0.2">
      <c r="A10" s="421" t="s">
        <v>575</v>
      </c>
      <c r="B10" s="392"/>
      <c r="C10" s="340">
        <f>D10</f>
        <v>88549597.289999992</v>
      </c>
      <c r="D10" s="393">
        <f>'COST ALLOCATION'!F16</f>
        <v>88549597.289999992</v>
      </c>
      <c r="E10" s="380">
        <f>'COST ALLOCATION'!F17+'COST ALLOCATION'!F18+'COST ALLOCATION'!F19+'COST ALLOCATION'!F20+'COST ALLOCATION'!F21</f>
        <v>-1503147.3900000001</v>
      </c>
      <c r="F10" s="393">
        <f>SUM(D10:E10)</f>
        <v>87046449.899999991</v>
      </c>
      <c r="G10" s="394">
        <f>F10/$E$2</f>
        <v>53.486421483431585</v>
      </c>
      <c r="H10" s="411"/>
    </row>
    <row r="11" spans="1:15" x14ac:dyDescent="0.2">
      <c r="A11" s="416" t="s">
        <v>141</v>
      </c>
      <c r="B11" s="392"/>
      <c r="C11" s="393"/>
      <c r="D11" s="393">
        <f>SUM(C12)</f>
        <v>12640735.099523716</v>
      </c>
      <c r="E11" s="380">
        <f>'COST ALLOCATION'!F4</f>
        <v>-682133.78</v>
      </c>
      <c r="F11" s="393">
        <f>SUM(D11:E11)</f>
        <v>11958601.319523716</v>
      </c>
      <c r="G11" s="394">
        <f>F11/$E$2</f>
        <v>7.3480629165597557</v>
      </c>
      <c r="H11" s="411"/>
    </row>
    <row r="12" spans="1:15" x14ac:dyDescent="0.2">
      <c r="A12" s="405"/>
      <c r="B12" s="165" t="s">
        <v>218</v>
      </c>
      <c r="C12" s="340">
        <f>'COST ALLOCATION'!I6</f>
        <v>12640735.099523716</v>
      </c>
      <c r="D12" s="164"/>
      <c r="E12" s="340"/>
      <c r="F12" s="343"/>
      <c r="G12" s="344"/>
      <c r="H12" s="411"/>
    </row>
    <row r="13" spans="1:15" x14ac:dyDescent="0.2">
      <c r="A13" s="416" t="s">
        <v>220</v>
      </c>
      <c r="B13" s="392"/>
      <c r="C13" s="393"/>
      <c r="D13" s="393">
        <f>SUM(C15:C22)</f>
        <v>22789955.355586402</v>
      </c>
      <c r="E13" s="723"/>
      <c r="F13" s="393">
        <f>D13+SUM(E13:E21)</f>
        <v>22036046.375586402</v>
      </c>
      <c r="G13" s="394">
        <f>F13/$E$2</f>
        <v>13.540233583645085</v>
      </c>
      <c r="H13" s="411"/>
    </row>
    <row r="14" spans="1:15" x14ac:dyDescent="0.2">
      <c r="A14" s="416"/>
      <c r="B14" s="623" t="s">
        <v>732</v>
      </c>
      <c r="C14" s="725"/>
      <c r="D14" s="725"/>
      <c r="E14" s="723">
        <f>'COST ALLOCATION'!F33-44686.41</f>
        <v>-611026.38</v>
      </c>
      <c r="F14" s="393"/>
      <c r="G14" s="394"/>
      <c r="H14" s="411"/>
    </row>
    <row r="15" spans="1:15" x14ac:dyDescent="0.2">
      <c r="A15" s="405"/>
      <c r="B15" s="165" t="s">
        <v>52</v>
      </c>
      <c r="C15" s="340">
        <f>'COST ALLOCATION'!F25</f>
        <v>3417454.71</v>
      </c>
      <c r="D15" s="340"/>
      <c r="E15" s="340"/>
      <c r="F15" s="343"/>
      <c r="G15" s="344"/>
      <c r="H15" s="411"/>
    </row>
    <row r="16" spans="1:15" x14ac:dyDescent="0.2">
      <c r="A16" s="405"/>
      <c r="B16" s="584" t="s">
        <v>760</v>
      </c>
      <c r="C16" s="340"/>
      <c r="D16" s="340"/>
      <c r="E16" s="723">
        <f>'COST ALLOCATION'!F59</f>
        <v>0</v>
      </c>
      <c r="F16" s="343"/>
      <c r="G16" s="344"/>
      <c r="H16" s="411"/>
    </row>
    <row r="17" spans="1:10" x14ac:dyDescent="0.2">
      <c r="A17" s="405"/>
      <c r="B17" s="165" t="s">
        <v>92</v>
      </c>
      <c r="C17" s="340">
        <f>'COST ALLOCATION'!F34</f>
        <v>9172373.4855864011</v>
      </c>
      <c r="D17" s="340"/>
      <c r="E17" s="340"/>
      <c r="F17" s="343"/>
      <c r="G17" s="344"/>
      <c r="H17" s="411"/>
    </row>
    <row r="18" spans="1:10" x14ac:dyDescent="0.2">
      <c r="A18" s="405"/>
      <c r="B18" s="165" t="s">
        <v>143</v>
      </c>
      <c r="C18" s="340">
        <f>'COST ALLOCATION'!F14</f>
        <v>1596861.3800000001</v>
      </c>
      <c r="D18" s="340"/>
      <c r="E18" s="380">
        <f>'COST ALLOCATION'!F15</f>
        <v>-2882.6</v>
      </c>
      <c r="F18" s="343"/>
      <c r="G18" s="344"/>
      <c r="H18" s="411"/>
    </row>
    <row r="19" spans="1:10" x14ac:dyDescent="0.2">
      <c r="A19" s="405"/>
      <c r="B19" s="165" t="s">
        <v>258</v>
      </c>
      <c r="C19" s="340">
        <f>'COST ALLOCATION'!F28</f>
        <v>1125904.28</v>
      </c>
      <c r="D19" s="340"/>
      <c r="E19" s="340"/>
      <c r="F19" s="343"/>
      <c r="G19" s="344"/>
      <c r="H19" s="411"/>
    </row>
    <row r="20" spans="1:10" x14ac:dyDescent="0.2">
      <c r="A20" s="405"/>
      <c r="B20" s="165" t="s">
        <v>54</v>
      </c>
      <c r="C20" s="340">
        <f>'COST ALLOCATION'!F29</f>
        <v>6847249.6100000003</v>
      </c>
      <c r="D20" s="340"/>
      <c r="E20" s="380">
        <f>'COST ALLOCATION'!F30</f>
        <v>-140000</v>
      </c>
      <c r="F20" s="343"/>
      <c r="G20" s="344"/>
      <c r="H20" s="411"/>
    </row>
    <row r="21" spans="1:10" x14ac:dyDescent="0.2">
      <c r="A21" s="405"/>
      <c r="B21" s="165" t="s">
        <v>259</v>
      </c>
      <c r="C21" s="340">
        <f>'COST ALLOCATION'!F31</f>
        <v>630111.89</v>
      </c>
      <c r="D21" s="340"/>
      <c r="E21" s="340"/>
      <c r="F21" s="343"/>
      <c r="G21" s="344"/>
      <c r="H21" s="411"/>
    </row>
    <row r="22" spans="1:10" ht="13.5" thickBot="1" x14ac:dyDescent="0.25">
      <c r="A22" s="406"/>
      <c r="B22" s="391"/>
      <c r="C22" s="398"/>
      <c r="D22" s="345"/>
      <c r="E22" s="380"/>
      <c r="F22" s="346"/>
      <c r="G22" s="399"/>
      <c r="H22" s="411"/>
    </row>
    <row r="23" spans="1:10" ht="16.5" thickBot="1" x14ac:dyDescent="0.3">
      <c r="A23" s="415" t="s">
        <v>148</v>
      </c>
      <c r="B23" s="400"/>
      <c r="C23" s="401"/>
      <c r="D23" s="402">
        <f>SUM(D4:D18)</f>
        <v>381052459.29511017</v>
      </c>
      <c r="E23" s="403">
        <f>SUM(E4:E22)</f>
        <v>-16998271.050000001</v>
      </c>
      <c r="F23" s="404">
        <f>SUM(F4:F21)</f>
        <v>364054188.24511009</v>
      </c>
      <c r="G23" s="815">
        <f>SUM(G4:G21)</f>
        <v>223.69615047662623</v>
      </c>
    </row>
    <row r="24" spans="1:10" ht="27.75" customHeight="1" thickBot="1" x14ac:dyDescent="0.25">
      <c r="A24" s="383" t="s">
        <v>203</v>
      </c>
      <c r="B24" s="271"/>
      <c r="D24" s="130"/>
      <c r="E24" s="130"/>
      <c r="F24" s="130"/>
    </row>
    <row r="25" spans="1:10" s="115" customFormat="1" ht="53.25" customHeight="1" thickTop="1" thickBot="1" x14ac:dyDescent="0.3">
      <c r="A25" s="1003" t="s">
        <v>55</v>
      </c>
      <c r="B25" s="1004"/>
      <c r="C25" s="228" t="s">
        <v>51</v>
      </c>
      <c r="D25" s="228" t="s">
        <v>93</v>
      </c>
      <c r="E25" s="228" t="s">
        <v>94</v>
      </c>
      <c r="F25" s="229" t="s">
        <v>53</v>
      </c>
      <c r="G25" s="229" t="s">
        <v>61</v>
      </c>
      <c r="H25" s="438" t="s">
        <v>95</v>
      </c>
      <c r="I25" s="229" t="s">
        <v>221</v>
      </c>
      <c r="J25" s="228" t="s">
        <v>47</v>
      </c>
    </row>
    <row r="26" spans="1:10" ht="13.5" thickTop="1" x14ac:dyDescent="0.2">
      <c r="A26" s="164" t="s">
        <v>239</v>
      </c>
      <c r="B26" s="164"/>
      <c r="C26" s="270">
        <f>'Sched-B1'!F4+'Sched-D1'!F49</f>
        <v>42760025.079999991</v>
      </c>
      <c r="D26" s="347">
        <f>'Inmate Avg Daily Population'!O4</f>
        <v>287066</v>
      </c>
      <c r="E26" s="348">
        <f>C26/D26</f>
        <v>148.95537987779809</v>
      </c>
      <c r="F26" s="349">
        <f>$G$8</f>
        <v>0.83919843288532148</v>
      </c>
      <c r="G26" s="350">
        <f>$G$10</f>
        <v>53.486421483431585</v>
      </c>
      <c r="H26" s="350">
        <f>$G$11</f>
        <v>7.3480629165597557</v>
      </c>
      <c r="I26" s="350">
        <f t="shared" ref="I26:I38" si="0">$G$13</f>
        <v>13.540233583645085</v>
      </c>
      <c r="J26" s="270">
        <f>SUM(E26:I26)</f>
        <v>224.16929629431988</v>
      </c>
    </row>
    <row r="27" spans="1:10" x14ac:dyDescent="0.2">
      <c r="A27" s="164" t="s">
        <v>496</v>
      </c>
      <c r="B27" s="164"/>
      <c r="C27" s="270">
        <f>'Sched-B1'!F5+'Sched-D1'!F100</f>
        <v>9298078.4100000001</v>
      </c>
      <c r="D27" s="418">
        <f>'Inmate Avg Daily Population'!O5</f>
        <v>39162</v>
      </c>
      <c r="E27" s="348">
        <f>C27/D27</f>
        <v>237.42603569787039</v>
      </c>
      <c r="F27" s="349">
        <f t="shared" ref="F27:F38" si="1">$G$8</f>
        <v>0.83919843288532148</v>
      </c>
      <c r="G27" s="350">
        <f>$G$10</f>
        <v>53.486421483431585</v>
      </c>
      <c r="H27" s="350">
        <f>$G$11</f>
        <v>7.3480629165597557</v>
      </c>
      <c r="I27" s="350">
        <f t="shared" si="0"/>
        <v>13.540233583645085</v>
      </c>
      <c r="J27" s="270">
        <f>SUM(E27:I27)</f>
        <v>312.63995211439214</v>
      </c>
    </row>
    <row r="28" spans="1:10" x14ac:dyDescent="0.2">
      <c r="A28" s="164" t="s">
        <v>577</v>
      </c>
      <c r="B28" s="164"/>
      <c r="C28" s="270">
        <f>'Sched-B1'!F7+'Sched-D1'!F208</f>
        <v>15667147.390000001</v>
      </c>
      <c r="D28" s="351">
        <f>'Inmate Avg Daily Population'!O6</f>
        <v>82167</v>
      </c>
      <c r="E28" s="348">
        <f>C28/D28</f>
        <v>190.67444825781641</v>
      </c>
      <c r="F28" s="349">
        <f>$G$8</f>
        <v>0.83919843288532148</v>
      </c>
      <c r="G28" s="350">
        <f t="shared" ref="G28:G38" si="2">$G$10</f>
        <v>53.486421483431585</v>
      </c>
      <c r="H28" s="350">
        <f t="shared" ref="H28:H38" si="3">$G$11</f>
        <v>7.3480629165597557</v>
      </c>
      <c r="I28" s="350">
        <f t="shared" si="0"/>
        <v>13.540233583645085</v>
      </c>
      <c r="J28" s="270">
        <f>SUM(E28:I28)</f>
        <v>265.88836467433816</v>
      </c>
    </row>
    <row r="29" spans="1:10" x14ac:dyDescent="0.2">
      <c r="A29" s="164" t="s">
        <v>506</v>
      </c>
      <c r="B29" s="164"/>
      <c r="C29" s="270">
        <f>'Sched-B1'!F8+'Sched-D1'!F266</f>
        <v>51303233.25</v>
      </c>
      <c r="D29" s="351">
        <f>'Inmate Avg Daily Population'!O7</f>
        <v>451827</v>
      </c>
      <c r="E29" s="348">
        <f>C29/D29</f>
        <v>113.54618747883593</v>
      </c>
      <c r="F29" s="349">
        <f>$G$8</f>
        <v>0.83919843288532148</v>
      </c>
      <c r="G29" s="350">
        <f t="shared" si="2"/>
        <v>53.486421483431585</v>
      </c>
      <c r="H29" s="350">
        <f t="shared" si="3"/>
        <v>7.3480629165597557</v>
      </c>
      <c r="I29" s="350">
        <f t="shared" si="0"/>
        <v>13.540233583645085</v>
      </c>
      <c r="J29" s="270">
        <f>SUM(E29:I29)</f>
        <v>188.7601038953577</v>
      </c>
    </row>
    <row r="30" spans="1:10" x14ac:dyDescent="0.2">
      <c r="A30" s="164" t="s">
        <v>495</v>
      </c>
      <c r="B30" s="164"/>
      <c r="C30" s="270">
        <f>'Sched-B1'!F6+'Sched-D1'!F152</f>
        <v>20394893.280000001</v>
      </c>
      <c r="D30" s="351">
        <f>'Inmate Avg Daily Population'!O8</f>
        <v>126575</v>
      </c>
      <c r="E30" s="348">
        <f t="shared" ref="E30:E38" si="4">C30/D30</f>
        <v>161.12892182500494</v>
      </c>
      <c r="F30" s="349">
        <f t="shared" si="1"/>
        <v>0.83919843288532148</v>
      </c>
      <c r="G30" s="350">
        <f t="shared" si="2"/>
        <v>53.486421483431585</v>
      </c>
      <c r="H30" s="350">
        <f t="shared" si="3"/>
        <v>7.3480629165597557</v>
      </c>
      <c r="I30" s="350">
        <f t="shared" si="0"/>
        <v>13.540233583645085</v>
      </c>
      <c r="J30" s="270">
        <f t="shared" ref="J30:J38" si="5">SUM(E30:I30)</f>
        <v>236.34283824152672</v>
      </c>
    </row>
    <row r="31" spans="1:10" x14ac:dyDescent="0.2">
      <c r="A31" s="164" t="s">
        <v>578</v>
      </c>
      <c r="B31" s="164"/>
      <c r="C31" s="270">
        <f>'Sched-B1'!F9+'Sched-D1'!F321</f>
        <v>5870797.3999999994</v>
      </c>
      <c r="D31" s="351">
        <f>'Inmate Avg Daily Population'!O9</f>
        <v>18666</v>
      </c>
      <c r="E31" s="348">
        <f t="shared" si="4"/>
        <v>314.51823636558447</v>
      </c>
      <c r="F31" s="349">
        <f t="shared" si="1"/>
        <v>0.83919843288532148</v>
      </c>
      <c r="G31" s="350">
        <f t="shared" si="2"/>
        <v>53.486421483431585</v>
      </c>
      <c r="H31" s="350">
        <f t="shared" si="3"/>
        <v>7.3480629165597557</v>
      </c>
      <c r="I31" s="350">
        <f t="shared" si="0"/>
        <v>13.540233583645085</v>
      </c>
      <c r="J31" s="270">
        <f t="shared" si="5"/>
        <v>389.7321527821062</v>
      </c>
    </row>
    <row r="32" spans="1:10" x14ac:dyDescent="0.2">
      <c r="A32" s="164" t="s">
        <v>518</v>
      </c>
      <c r="B32" s="164"/>
      <c r="C32" s="270">
        <f>'Sched-B1'!F10+'Sched-D1'!F376</f>
        <v>13901764.27</v>
      </c>
      <c r="D32" s="351">
        <f>'Inmate Avg Daily Population'!O10</f>
        <v>38521.5</v>
      </c>
      <c r="E32" s="348">
        <f t="shared" si="4"/>
        <v>360.88325402697194</v>
      </c>
      <c r="F32" s="349">
        <f t="shared" si="1"/>
        <v>0.83919843288532148</v>
      </c>
      <c r="G32" s="350">
        <f t="shared" si="2"/>
        <v>53.486421483431585</v>
      </c>
      <c r="H32" s="350">
        <f t="shared" si="3"/>
        <v>7.3480629165597557</v>
      </c>
      <c r="I32" s="350">
        <f t="shared" si="0"/>
        <v>13.540233583645085</v>
      </c>
      <c r="J32" s="270">
        <f t="shared" si="5"/>
        <v>436.09717044349367</v>
      </c>
    </row>
    <row r="33" spans="1:10" x14ac:dyDescent="0.2">
      <c r="A33" s="164" t="s">
        <v>579</v>
      </c>
      <c r="B33" s="164"/>
      <c r="C33" s="270">
        <f>'Sched-B1'!F11+'Sched-D1'!F431</f>
        <v>8774548.5700000003</v>
      </c>
      <c r="D33" s="351">
        <f>'Inmate Avg Daily Population'!O11</f>
        <v>30134</v>
      </c>
      <c r="E33" s="348">
        <f t="shared" si="4"/>
        <v>291.18432899714611</v>
      </c>
      <c r="F33" s="349">
        <f t="shared" si="1"/>
        <v>0.83919843288532148</v>
      </c>
      <c r="G33" s="350">
        <f t="shared" si="2"/>
        <v>53.486421483431585</v>
      </c>
      <c r="H33" s="350">
        <f t="shared" si="3"/>
        <v>7.3480629165597557</v>
      </c>
      <c r="I33" s="350">
        <f t="shared" si="0"/>
        <v>13.540233583645085</v>
      </c>
      <c r="J33" s="270">
        <f>SUM(E33:I33)</f>
        <v>366.39824541366784</v>
      </c>
    </row>
    <row r="34" spans="1:10" x14ac:dyDescent="0.2">
      <c r="A34" s="164" t="s">
        <v>580</v>
      </c>
      <c r="B34" s="164"/>
      <c r="C34" s="270">
        <f>'Sched-B1'!F12+'Sched-D1'!F484</f>
        <v>19118156.830000002</v>
      </c>
      <c r="D34" s="351">
        <f>'Inmate Avg Daily Population'!O12</f>
        <v>178608</v>
      </c>
      <c r="E34" s="348">
        <f t="shared" si="4"/>
        <v>107.03975650586762</v>
      </c>
      <c r="F34" s="349">
        <f t="shared" si="1"/>
        <v>0.83919843288532148</v>
      </c>
      <c r="G34" s="350">
        <f t="shared" si="2"/>
        <v>53.486421483431585</v>
      </c>
      <c r="H34" s="350">
        <f t="shared" si="3"/>
        <v>7.3480629165597557</v>
      </c>
      <c r="I34" s="350">
        <f t="shared" si="0"/>
        <v>13.540233583645085</v>
      </c>
      <c r="J34" s="270">
        <f>SUM(E34:I34)</f>
        <v>182.25367292238937</v>
      </c>
    </row>
    <row r="35" spans="1:10" x14ac:dyDescent="0.2">
      <c r="A35" s="998" t="s">
        <v>257</v>
      </c>
      <c r="B35" s="999"/>
      <c r="C35" s="270">
        <f>'Sched-B1'!F16+'Sched-D1'!F707</f>
        <v>6822994.330000001</v>
      </c>
      <c r="D35" s="351">
        <f>'Inmate Avg Daily Population'!O13</f>
        <v>23637.5</v>
      </c>
      <c r="E35" s="348">
        <f t="shared" si="4"/>
        <v>288.65126726599686</v>
      </c>
      <c r="F35" s="349">
        <f t="shared" si="1"/>
        <v>0.83919843288532148</v>
      </c>
      <c r="G35" s="350">
        <f t="shared" si="2"/>
        <v>53.486421483431585</v>
      </c>
      <c r="H35" s="350">
        <f t="shared" si="3"/>
        <v>7.3480629165597557</v>
      </c>
      <c r="I35" s="350">
        <f t="shared" si="0"/>
        <v>13.540233583645085</v>
      </c>
      <c r="J35" s="270">
        <f t="shared" si="5"/>
        <v>363.86518368251859</v>
      </c>
    </row>
    <row r="36" spans="1:10" x14ac:dyDescent="0.2">
      <c r="A36" s="164" t="s">
        <v>509</v>
      </c>
      <c r="B36" s="164"/>
      <c r="C36" s="270">
        <f>'Sched-B1'!F13+'Sched-D1'!F542</f>
        <v>29204790.050000001</v>
      </c>
      <c r="D36" s="352">
        <f>'Inmate Avg Daily Population'!O14</f>
        <v>143929.5</v>
      </c>
      <c r="E36" s="348">
        <f t="shared" si="4"/>
        <v>202.91038355583811</v>
      </c>
      <c r="F36" s="349">
        <f t="shared" si="1"/>
        <v>0.83919843288532148</v>
      </c>
      <c r="G36" s="350">
        <f t="shared" si="2"/>
        <v>53.486421483431585</v>
      </c>
      <c r="H36" s="350">
        <f t="shared" si="3"/>
        <v>7.3480629165597557</v>
      </c>
      <c r="I36" s="350">
        <f t="shared" si="0"/>
        <v>13.540233583645085</v>
      </c>
      <c r="J36" s="270">
        <f t="shared" si="5"/>
        <v>278.12429997235984</v>
      </c>
    </row>
    <row r="37" spans="1:10" x14ac:dyDescent="0.2">
      <c r="A37" s="167" t="s">
        <v>510</v>
      </c>
      <c r="B37" s="167"/>
      <c r="C37" s="270">
        <f>'Sched-B1'!F14+'Sched-D1'!F599</f>
        <v>20195090.690000001</v>
      </c>
      <c r="D37" s="352">
        <f>'Inmate Avg Daily Population'!O15</f>
        <v>157776.5</v>
      </c>
      <c r="E37" s="348">
        <f t="shared" si="4"/>
        <v>127.9980902732663</v>
      </c>
      <c r="F37" s="353">
        <f t="shared" si="1"/>
        <v>0.83919843288532148</v>
      </c>
      <c r="G37" s="350">
        <f t="shared" si="2"/>
        <v>53.486421483431585</v>
      </c>
      <c r="H37" s="350">
        <f t="shared" si="3"/>
        <v>7.3480629165597557</v>
      </c>
      <c r="I37" s="350">
        <f t="shared" si="0"/>
        <v>13.540233583645085</v>
      </c>
      <c r="J37" s="270">
        <f t="shared" si="5"/>
        <v>203.21200668978807</v>
      </c>
    </row>
    <row r="38" spans="1:10" ht="13.5" thickBot="1" x14ac:dyDescent="0.25">
      <c r="A38" s="405" t="s">
        <v>581</v>
      </c>
      <c r="B38" s="165"/>
      <c r="C38" s="270">
        <f>'Sched-B1'!F15+'Sched-D1'!F650</f>
        <v>11909250.91</v>
      </c>
      <c r="D38" s="354">
        <f>'Inmate Avg Daily Population'!O16</f>
        <v>49379.5</v>
      </c>
      <c r="E38" s="355">
        <f t="shared" si="4"/>
        <v>241.17803764720179</v>
      </c>
      <c r="F38" s="353">
        <f t="shared" si="1"/>
        <v>0.83919843288532148</v>
      </c>
      <c r="G38" s="350">
        <f t="shared" si="2"/>
        <v>53.486421483431585</v>
      </c>
      <c r="H38" s="350">
        <f t="shared" si="3"/>
        <v>7.3480629165597557</v>
      </c>
      <c r="I38" s="350">
        <f t="shared" si="0"/>
        <v>13.540233583645085</v>
      </c>
      <c r="J38" s="355">
        <f t="shared" si="5"/>
        <v>316.39195406372352</v>
      </c>
    </row>
    <row r="39" spans="1:10" s="271" customFormat="1" ht="15.75" customHeight="1" thickTop="1" thickBot="1" x14ac:dyDescent="0.25">
      <c r="A39" s="412" t="s">
        <v>60</v>
      </c>
      <c r="B39" s="413"/>
      <c r="C39" s="816">
        <f>SUM(C26:C38)</f>
        <v>255220770.46000004</v>
      </c>
      <c r="D39" s="817">
        <f>SUM(D26:D38)</f>
        <v>1627449.5</v>
      </c>
      <c r="E39" s="818">
        <f>G4</f>
        <v>148.48223406010447</v>
      </c>
      <c r="F39" s="819">
        <f>G8</f>
        <v>0.83919843288532148</v>
      </c>
      <c r="G39" s="820">
        <f>G10</f>
        <v>53.486421483431585</v>
      </c>
      <c r="H39" s="820">
        <f>G11</f>
        <v>7.3480629165597557</v>
      </c>
      <c r="I39" s="819">
        <f>G13</f>
        <v>13.540233583645085</v>
      </c>
      <c r="J39" s="821">
        <f>SUM(E39:I39)</f>
        <v>223.69615047662623</v>
      </c>
    </row>
    <row r="40" spans="1:10" ht="13.5" thickTop="1" x14ac:dyDescent="0.2">
      <c r="C40" s="130"/>
      <c r="E40" s="130"/>
    </row>
    <row r="41" spans="1:10" x14ac:dyDescent="0.2">
      <c r="C41" s="130"/>
      <c r="E41" s="782">
        <f>E23+CostReim!D35+44686.41+13573432.88</f>
        <v>0</v>
      </c>
      <c r="F41" s="142" t="s">
        <v>819</v>
      </c>
    </row>
    <row r="42" spans="1:10" x14ac:dyDescent="0.2">
      <c r="E42" s="142"/>
      <c r="F42" s="142"/>
      <c r="J42" s="130"/>
    </row>
    <row r="43" spans="1:10" x14ac:dyDescent="0.2">
      <c r="A43" s="142" t="s">
        <v>899</v>
      </c>
      <c r="B43" s="356"/>
    </row>
    <row r="56" spans="6:7" x14ac:dyDescent="0.2">
      <c r="F56" s="130"/>
      <c r="G56" s="130"/>
    </row>
  </sheetData>
  <mergeCells count="5">
    <mergeCell ref="A1:G1"/>
    <mergeCell ref="A35:B35"/>
    <mergeCell ref="A3:B3"/>
    <mergeCell ref="C3:D3"/>
    <mergeCell ref="A25:B25"/>
  </mergeCells>
  <phoneticPr fontId="22" type="noConversion"/>
  <printOptions horizontalCentered="1"/>
  <pageMargins left="0" right="0" top="1" bottom="0.5" header="0.33" footer="0.5"/>
  <pageSetup scale="80" fitToHeight="0" orientation="landscape" r:id="rId1"/>
  <headerFooter alignWithMargins="0">
    <oddHeader>&amp;CDEPARTMENT OF CORRECTIONS
 2025 COST OF CARE 
(Based on FY2024 Actuals)</oddHeader>
    <oddFooter>&amp;L&amp;8&amp;F &amp;A&amp;R&amp;8&amp;D &amp;T</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7" tint="0.59999389629810485"/>
    <pageSetUpPr fitToPage="1"/>
  </sheetPr>
  <dimension ref="A1:V35"/>
  <sheetViews>
    <sheetView showGridLines="0" zoomScale="75" workbookViewId="0">
      <pane ySplit="3" topLeftCell="A4" activePane="bottomLeft" state="frozenSplit"/>
      <selection activeCell="B35" sqref="B35"/>
      <selection pane="bottomLeft"/>
    </sheetView>
  </sheetViews>
  <sheetFormatPr defaultColWidth="9.140625" defaultRowHeight="12.75" x14ac:dyDescent="0.2"/>
  <cols>
    <col min="1" max="1" width="28.42578125" style="101" customWidth="1"/>
    <col min="2" max="2" width="12.28515625" style="101" customWidth="1"/>
    <col min="3" max="3" width="11.7109375" style="101" customWidth="1"/>
    <col min="4" max="4" width="11" style="101" customWidth="1"/>
    <col min="5" max="5" width="11.28515625" style="101" customWidth="1"/>
    <col min="6" max="6" width="11.42578125" style="101" customWidth="1"/>
    <col min="7" max="7" width="11.5703125" style="101" customWidth="1"/>
    <col min="8" max="8" width="11.28515625" style="101" customWidth="1"/>
    <col min="9" max="9" width="11.5703125" style="101" customWidth="1"/>
    <col min="10" max="10" width="11.28515625" style="101" customWidth="1"/>
    <col min="11" max="11" width="10.85546875" style="101" customWidth="1"/>
    <col min="12" max="12" width="11.42578125" style="101" customWidth="1"/>
    <col min="13" max="13" width="10.85546875" style="101" customWidth="1"/>
    <col min="14" max="14" width="16.5703125" style="101" customWidth="1"/>
    <col min="15" max="15" width="15.42578125" style="101" customWidth="1"/>
    <col min="16" max="16" width="9.140625" style="101"/>
    <col min="17" max="17" width="13.42578125" style="101" bestFit="1" customWidth="1"/>
    <col min="18" max="16384" width="9.140625" style="101"/>
  </cols>
  <sheetData>
    <row r="1" spans="1:22" ht="31.5" customHeight="1" thickBot="1" x14ac:dyDescent="0.25">
      <c r="A1" s="116" t="s">
        <v>135</v>
      </c>
      <c r="R1" s="916" t="s">
        <v>888</v>
      </c>
    </row>
    <row r="2" spans="1:22" ht="33.75" customHeight="1" thickBot="1" x14ac:dyDescent="0.3">
      <c r="A2" s="360"/>
      <c r="B2" s="1005" t="s">
        <v>133</v>
      </c>
      <c r="C2" s="1006"/>
      <c r="D2" s="1006"/>
      <c r="E2" s="1006"/>
      <c r="F2" s="1006"/>
      <c r="G2" s="1006"/>
      <c r="H2" s="1006"/>
      <c r="I2" s="1006"/>
      <c r="J2" s="1006"/>
      <c r="K2" s="1006"/>
      <c r="L2" s="1006"/>
      <c r="M2" s="1007"/>
      <c r="N2" s="1008" t="s">
        <v>134</v>
      </c>
      <c r="O2" s="1010" t="s">
        <v>135</v>
      </c>
    </row>
    <row r="3" spans="1:22" ht="33.75" customHeight="1" thickBot="1" x14ac:dyDescent="0.25">
      <c r="A3" s="366" t="s">
        <v>55</v>
      </c>
      <c r="B3" s="651">
        <v>45108</v>
      </c>
      <c r="C3" s="651">
        <v>45139</v>
      </c>
      <c r="D3" s="651">
        <v>45170</v>
      </c>
      <c r="E3" s="651">
        <v>45200</v>
      </c>
      <c r="F3" s="651">
        <v>45231</v>
      </c>
      <c r="G3" s="651">
        <v>45261</v>
      </c>
      <c r="H3" s="651">
        <v>45292</v>
      </c>
      <c r="I3" s="651">
        <v>45323</v>
      </c>
      <c r="J3" s="651">
        <v>45352</v>
      </c>
      <c r="K3" s="651">
        <v>45383</v>
      </c>
      <c r="L3" s="651">
        <v>45413</v>
      </c>
      <c r="M3" s="651">
        <v>45444</v>
      </c>
      <c r="N3" s="1009"/>
      <c r="O3" s="1011"/>
    </row>
    <row r="4" spans="1:22" ht="22.5" customHeight="1" x14ac:dyDescent="0.25">
      <c r="A4" s="361" t="s">
        <v>299</v>
      </c>
      <c r="B4" s="649">
        <f>'Qtrly''s-Cntsht Book'!D5</f>
        <v>752</v>
      </c>
      <c r="C4" s="649">
        <f>'Qtrly''s-Cntsht Book'!E5</f>
        <v>766</v>
      </c>
      <c r="D4" s="649">
        <f>'Qtrly''s-Cntsht Book'!F5</f>
        <v>785</v>
      </c>
      <c r="E4" s="650">
        <f>'Qtrly''s-Cntsht Book'!I5</f>
        <v>760</v>
      </c>
      <c r="F4" s="650">
        <f>'Qtrly''s-Cntsht Book'!J5</f>
        <v>768</v>
      </c>
      <c r="G4" s="650">
        <f>'Qtrly''s-Cntsht Book'!K5</f>
        <v>787</v>
      </c>
      <c r="H4" s="650">
        <f>'Qtrly''s-Cntsht Book'!N5</f>
        <v>806</v>
      </c>
      <c r="I4" s="650">
        <f>'Qtrly''s-Cntsht Book'!O5</f>
        <v>808</v>
      </c>
      <c r="J4" s="650">
        <f>'Qtrly''s-Cntsht Book'!P5</f>
        <v>790</v>
      </c>
      <c r="K4" s="650">
        <f>'Qtrly''s-Cntsht Book'!S5</f>
        <v>793</v>
      </c>
      <c r="L4" s="650">
        <f>'Qtrly''s-Cntsht Book'!T5</f>
        <v>795</v>
      </c>
      <c r="M4" s="650">
        <f>'Qtrly''s-Cntsht Book'!U5</f>
        <v>802</v>
      </c>
      <c r="N4" s="362">
        <f>SUM(B4:M4)/12</f>
        <v>784.33333333333337</v>
      </c>
      <c r="O4" s="363">
        <f>N4*366</f>
        <v>287066</v>
      </c>
      <c r="R4" s="371"/>
      <c r="S4" s="372"/>
      <c r="T4" s="373"/>
      <c r="U4" s="373"/>
      <c r="V4" s="374"/>
    </row>
    <row r="5" spans="1:22" ht="23.45" customHeight="1" x14ac:dyDescent="0.25">
      <c r="A5" s="364" t="s">
        <v>120</v>
      </c>
      <c r="B5" s="649">
        <f>'Qtrly''s-Cntsht Book'!D6</f>
        <v>110</v>
      </c>
      <c r="C5" s="649">
        <f>'Qtrly''s-Cntsht Book'!E6</f>
        <v>109</v>
      </c>
      <c r="D5" s="649">
        <f>'Qtrly''s-Cntsht Book'!F6</f>
        <v>100</v>
      </c>
      <c r="E5" s="650">
        <f>'Qtrly''s-Cntsht Book'!I6</f>
        <v>105</v>
      </c>
      <c r="F5" s="650">
        <f>'Qtrly''s-Cntsht Book'!J6</f>
        <v>108</v>
      </c>
      <c r="G5" s="650">
        <f>'Qtrly''s-Cntsht Book'!K6</f>
        <v>105</v>
      </c>
      <c r="H5" s="650">
        <f>'Qtrly''s-Cntsht Book'!N6</f>
        <v>105</v>
      </c>
      <c r="I5" s="650">
        <f>'Qtrly''s-Cntsht Book'!O6</f>
        <v>111</v>
      </c>
      <c r="J5" s="650">
        <f>'Qtrly''s-Cntsht Book'!P6</f>
        <v>105</v>
      </c>
      <c r="K5" s="650">
        <f>'Qtrly''s-Cntsht Book'!S6</f>
        <v>104</v>
      </c>
      <c r="L5" s="650">
        <f>'Qtrly''s-Cntsht Book'!T6</f>
        <v>113</v>
      </c>
      <c r="M5" s="650">
        <f>'Qtrly''s-Cntsht Book'!U6</f>
        <v>109</v>
      </c>
      <c r="N5" s="596">
        <f>SUM(B5:M5)/12</f>
        <v>107</v>
      </c>
      <c r="O5" s="363">
        <f t="shared" ref="O5:O16" si="0">N5*366</f>
        <v>39162</v>
      </c>
      <c r="R5" s="368"/>
      <c r="S5" s="375"/>
      <c r="T5" s="373"/>
      <c r="U5" s="373"/>
      <c r="V5" s="374"/>
    </row>
    <row r="6" spans="1:22" ht="23.45" customHeight="1" x14ac:dyDescent="0.25">
      <c r="A6" s="365" t="s">
        <v>24</v>
      </c>
      <c r="B6" s="649">
        <f>'Qtrly''s-Cntsht Book'!D7</f>
        <v>226</v>
      </c>
      <c r="C6" s="649">
        <f>'Qtrly''s-Cntsht Book'!E7</f>
        <v>225</v>
      </c>
      <c r="D6" s="649">
        <f>'Qtrly''s-Cntsht Book'!F7</f>
        <v>211</v>
      </c>
      <c r="E6" s="650">
        <f>'Qtrly''s-Cntsht Book'!I7</f>
        <v>215</v>
      </c>
      <c r="F6" s="650">
        <f>'Qtrly''s-Cntsht Book'!J7</f>
        <v>210</v>
      </c>
      <c r="G6" s="650">
        <f>'Qtrly''s-Cntsht Book'!K7</f>
        <v>218</v>
      </c>
      <c r="H6" s="650">
        <f>'Qtrly''s-Cntsht Book'!N7</f>
        <v>232</v>
      </c>
      <c r="I6" s="650">
        <f>'Qtrly''s-Cntsht Book'!O7</f>
        <v>224</v>
      </c>
      <c r="J6" s="650">
        <f>'Qtrly''s-Cntsht Book'!P7</f>
        <v>219</v>
      </c>
      <c r="K6" s="650">
        <f>'Qtrly''s-Cntsht Book'!S7</f>
        <v>236</v>
      </c>
      <c r="L6" s="650">
        <f>'Qtrly''s-Cntsht Book'!T7</f>
        <v>242</v>
      </c>
      <c r="M6" s="650">
        <f>'Qtrly''s-Cntsht Book'!U7</f>
        <v>236</v>
      </c>
      <c r="N6" s="596">
        <f t="shared" ref="N6:N17" si="1">SUM(B6:M6)/12</f>
        <v>224.5</v>
      </c>
      <c r="O6" s="363">
        <f t="shared" si="0"/>
        <v>82167</v>
      </c>
      <c r="R6" s="368"/>
      <c r="S6" s="375"/>
      <c r="T6" s="373"/>
      <c r="U6" s="373"/>
      <c r="V6" s="374"/>
    </row>
    <row r="7" spans="1:22" ht="23.45" customHeight="1" x14ac:dyDescent="0.25">
      <c r="A7" s="365" t="s">
        <v>342</v>
      </c>
      <c r="B7" s="649">
        <f>'Qtrly''s-Cntsht Book'!D8</f>
        <v>1319</v>
      </c>
      <c r="C7" s="649">
        <f>'Qtrly''s-Cntsht Book'!E8</f>
        <v>1298</v>
      </c>
      <c r="D7" s="649">
        <f>'Qtrly''s-Cntsht Book'!F8</f>
        <v>1272</v>
      </c>
      <c r="E7" s="650">
        <f>'Qtrly''s-Cntsht Book'!I8</f>
        <v>1292</v>
      </c>
      <c r="F7" s="650">
        <f>'Qtrly''s-Cntsht Book'!J8</f>
        <v>1273</v>
      </c>
      <c r="G7" s="650">
        <f>'Qtrly''s-Cntsht Book'!K8</f>
        <v>1213</v>
      </c>
      <c r="H7" s="650">
        <f>'Qtrly''s-Cntsht Book'!N8</f>
        <v>1211</v>
      </c>
      <c r="I7" s="650">
        <f>'Qtrly''s-Cntsht Book'!O8</f>
        <v>1187</v>
      </c>
      <c r="J7" s="650">
        <f>'Qtrly''s-Cntsht Book'!P8</f>
        <v>1198</v>
      </c>
      <c r="K7" s="650">
        <f>'Qtrly''s-Cntsht Book'!S8</f>
        <v>1186</v>
      </c>
      <c r="L7" s="650">
        <f>'Qtrly''s-Cntsht Book'!T8</f>
        <v>1168</v>
      </c>
      <c r="M7" s="650">
        <f>'Qtrly''s-Cntsht Book'!U8</f>
        <v>1197</v>
      </c>
      <c r="N7" s="596">
        <f>SUM(B7:M7)/12</f>
        <v>1234.5</v>
      </c>
      <c r="O7" s="363">
        <f t="shared" si="0"/>
        <v>451827</v>
      </c>
      <c r="R7" s="368"/>
      <c r="S7" s="375"/>
      <c r="T7" s="373"/>
      <c r="U7" s="373"/>
      <c r="V7" s="374"/>
    </row>
    <row r="8" spans="1:22" ht="23.45" customHeight="1" x14ac:dyDescent="0.25">
      <c r="A8" s="365" t="s">
        <v>205</v>
      </c>
      <c r="B8" s="649">
        <f>'Qtrly''s-Cntsht Book'!D9</f>
        <v>342</v>
      </c>
      <c r="C8" s="649">
        <f>'Qtrly''s-Cntsht Book'!E9</f>
        <v>343</v>
      </c>
      <c r="D8" s="649">
        <f>'Qtrly''s-Cntsht Book'!F9</f>
        <v>355</v>
      </c>
      <c r="E8" s="650">
        <f>'Qtrly''s-Cntsht Book'!I9</f>
        <v>348</v>
      </c>
      <c r="F8" s="650">
        <f>'Qtrly''s-Cntsht Book'!J9</f>
        <v>340</v>
      </c>
      <c r="G8" s="650">
        <f>'Qtrly''s-Cntsht Book'!K9</f>
        <v>350</v>
      </c>
      <c r="H8" s="650">
        <f>'Qtrly''s-Cntsht Book'!N9</f>
        <v>353</v>
      </c>
      <c r="I8" s="650">
        <f>'Qtrly''s-Cntsht Book'!O9</f>
        <v>341</v>
      </c>
      <c r="J8" s="650">
        <f>'Qtrly''s-Cntsht Book'!P9</f>
        <v>335</v>
      </c>
      <c r="K8" s="650">
        <f>'Qtrly''s-Cntsht Book'!S9</f>
        <v>346</v>
      </c>
      <c r="L8" s="650">
        <f>'Qtrly''s-Cntsht Book'!T9</f>
        <v>342</v>
      </c>
      <c r="M8" s="650">
        <f>'Qtrly''s-Cntsht Book'!U9</f>
        <v>355</v>
      </c>
      <c r="N8" s="596">
        <f t="shared" si="1"/>
        <v>345.83333333333331</v>
      </c>
      <c r="O8" s="363">
        <f t="shared" si="0"/>
        <v>126575</v>
      </c>
      <c r="R8" s="376"/>
      <c r="S8" s="375"/>
      <c r="T8" s="373"/>
      <c r="U8" s="373"/>
      <c r="V8" s="374"/>
    </row>
    <row r="9" spans="1:22" ht="23.45" customHeight="1" x14ac:dyDescent="0.25">
      <c r="A9" s="365" t="s">
        <v>15</v>
      </c>
      <c r="B9" s="649">
        <f>'Qtrly''s-Cntsht Book'!D10</f>
        <v>52</v>
      </c>
      <c r="C9" s="649">
        <f>'Qtrly''s-Cntsht Book'!E10</f>
        <v>50</v>
      </c>
      <c r="D9" s="649">
        <f>'Qtrly''s-Cntsht Book'!F10</f>
        <v>52</v>
      </c>
      <c r="E9" s="650">
        <f>'Qtrly''s-Cntsht Book'!I10</f>
        <v>48</v>
      </c>
      <c r="F9" s="650">
        <f>'Qtrly''s-Cntsht Book'!J10</f>
        <v>49</v>
      </c>
      <c r="G9" s="650">
        <f>'Qtrly''s-Cntsht Book'!K10</f>
        <v>48</v>
      </c>
      <c r="H9" s="650">
        <f>'Qtrly''s-Cntsht Book'!N10</f>
        <v>52</v>
      </c>
      <c r="I9" s="650">
        <f>'Qtrly''s-Cntsht Book'!O10</f>
        <v>51</v>
      </c>
      <c r="J9" s="650">
        <f>'Qtrly''s-Cntsht Book'!P10</f>
        <v>52</v>
      </c>
      <c r="K9" s="650">
        <f>'Qtrly''s-Cntsht Book'!S10</f>
        <v>53</v>
      </c>
      <c r="L9" s="650">
        <f>'Qtrly''s-Cntsht Book'!T10</f>
        <v>57</v>
      </c>
      <c r="M9" s="650">
        <f>'Qtrly''s-Cntsht Book'!U10</f>
        <v>48</v>
      </c>
      <c r="N9" s="596">
        <f t="shared" si="1"/>
        <v>51</v>
      </c>
      <c r="O9" s="363">
        <f t="shared" si="0"/>
        <v>18666</v>
      </c>
      <c r="R9" s="368"/>
      <c r="S9" s="375"/>
      <c r="T9" s="373"/>
      <c r="U9" s="373"/>
      <c r="V9" s="374"/>
    </row>
    <row r="10" spans="1:22" ht="23.45" customHeight="1" x14ac:dyDescent="0.25">
      <c r="A10" s="365" t="s">
        <v>16</v>
      </c>
      <c r="B10" s="649">
        <f>'Qtrly''s-Cntsht Book'!D11</f>
        <v>102</v>
      </c>
      <c r="C10" s="649">
        <f>'Qtrly''s-Cntsht Book'!E11</f>
        <v>99</v>
      </c>
      <c r="D10" s="649">
        <f>'Qtrly''s-Cntsht Book'!F11</f>
        <v>100</v>
      </c>
      <c r="E10" s="650">
        <f>'Qtrly''s-Cntsht Book'!I11</f>
        <v>100</v>
      </c>
      <c r="F10" s="650">
        <f>'Qtrly''s-Cntsht Book'!J11</f>
        <v>108</v>
      </c>
      <c r="G10" s="650">
        <f>'Qtrly''s-Cntsht Book'!K11</f>
        <v>109</v>
      </c>
      <c r="H10" s="650">
        <f>'Qtrly''s-Cntsht Book'!N11</f>
        <v>107</v>
      </c>
      <c r="I10" s="650">
        <f>'Qtrly''s-Cntsht Book'!O11</f>
        <v>103</v>
      </c>
      <c r="J10" s="650">
        <f>'Qtrly''s-Cntsht Book'!P11</f>
        <v>108</v>
      </c>
      <c r="K10" s="650">
        <f>'Qtrly''s-Cntsht Book'!S11</f>
        <v>112</v>
      </c>
      <c r="L10" s="650">
        <f>'Qtrly''s-Cntsht Book'!T11</f>
        <v>111</v>
      </c>
      <c r="M10" s="650">
        <f>'Qtrly''s-Cntsht Book'!U11</f>
        <v>104</v>
      </c>
      <c r="N10" s="596">
        <f t="shared" si="1"/>
        <v>105.25</v>
      </c>
      <c r="O10" s="363">
        <f t="shared" si="0"/>
        <v>38521.5</v>
      </c>
      <c r="R10" s="368"/>
      <c r="S10" s="375"/>
      <c r="T10" s="373"/>
      <c r="U10" s="373"/>
      <c r="V10" s="374"/>
    </row>
    <row r="11" spans="1:22" ht="23.45" customHeight="1" x14ac:dyDescent="0.25">
      <c r="A11" s="365" t="s">
        <v>121</v>
      </c>
      <c r="B11" s="649">
        <f>'Qtrly''s-Cntsht Book'!D12</f>
        <v>86</v>
      </c>
      <c r="C11" s="649">
        <f>'Qtrly''s-Cntsht Book'!E12</f>
        <v>75</v>
      </c>
      <c r="D11" s="649">
        <f>'Qtrly''s-Cntsht Book'!F12</f>
        <v>83</v>
      </c>
      <c r="E11" s="650">
        <f>'Qtrly''s-Cntsht Book'!I12</f>
        <v>89</v>
      </c>
      <c r="F11" s="650">
        <f>'Qtrly''s-Cntsht Book'!J12</f>
        <v>76</v>
      </c>
      <c r="G11" s="650">
        <f>'Qtrly''s-Cntsht Book'!K12</f>
        <v>82</v>
      </c>
      <c r="H11" s="650">
        <f>'Qtrly''s-Cntsht Book'!N12</f>
        <v>84</v>
      </c>
      <c r="I11" s="650">
        <f>'Qtrly''s-Cntsht Book'!O12</f>
        <v>86</v>
      </c>
      <c r="J11" s="650">
        <f>'Qtrly''s-Cntsht Book'!P12</f>
        <v>86</v>
      </c>
      <c r="K11" s="650">
        <f>'Qtrly''s-Cntsht Book'!S12</f>
        <v>82</v>
      </c>
      <c r="L11" s="650">
        <f>'Qtrly''s-Cntsht Book'!T12</f>
        <v>85</v>
      </c>
      <c r="M11" s="650">
        <f>'Qtrly''s-Cntsht Book'!U12</f>
        <v>74</v>
      </c>
      <c r="N11" s="596">
        <f t="shared" si="1"/>
        <v>82.333333333333329</v>
      </c>
      <c r="O11" s="363">
        <f t="shared" si="0"/>
        <v>30134</v>
      </c>
      <c r="R11" s="368"/>
      <c r="S11" s="375"/>
      <c r="T11" s="373"/>
      <c r="U11" s="373"/>
      <c r="V11" s="374"/>
    </row>
    <row r="12" spans="1:22" ht="23.45" customHeight="1" x14ac:dyDescent="0.25">
      <c r="A12" s="365" t="s">
        <v>18</v>
      </c>
      <c r="B12" s="649">
        <f>'Qtrly''s-Cntsht Book'!D13</f>
        <v>469</v>
      </c>
      <c r="C12" s="649">
        <f>'Qtrly''s-Cntsht Book'!E13</f>
        <v>482</v>
      </c>
      <c r="D12" s="649">
        <f>'Qtrly''s-Cntsht Book'!F13</f>
        <v>489</v>
      </c>
      <c r="E12" s="650">
        <f>'Qtrly''s-Cntsht Book'!I13</f>
        <v>487</v>
      </c>
      <c r="F12" s="650">
        <f>'Qtrly''s-Cntsht Book'!J13</f>
        <v>491</v>
      </c>
      <c r="G12" s="650">
        <f>'Qtrly''s-Cntsht Book'!K13</f>
        <v>485</v>
      </c>
      <c r="H12" s="650">
        <f>'Qtrly''s-Cntsht Book'!N13</f>
        <v>484</v>
      </c>
      <c r="I12" s="650">
        <f>'Qtrly''s-Cntsht Book'!O13</f>
        <v>497</v>
      </c>
      <c r="J12" s="650">
        <f>'Qtrly''s-Cntsht Book'!P13</f>
        <v>496</v>
      </c>
      <c r="K12" s="650">
        <f>'Qtrly''s-Cntsht Book'!S13</f>
        <v>496</v>
      </c>
      <c r="L12" s="650">
        <f>'Qtrly''s-Cntsht Book'!T13</f>
        <v>493</v>
      </c>
      <c r="M12" s="650">
        <f>'Qtrly''s-Cntsht Book'!U13</f>
        <v>487</v>
      </c>
      <c r="N12" s="596">
        <f>SUM(B12:M12)/12</f>
        <v>488</v>
      </c>
      <c r="O12" s="363">
        <f t="shared" si="0"/>
        <v>178608</v>
      </c>
      <c r="R12" s="376"/>
      <c r="S12" s="375"/>
      <c r="T12" s="373"/>
      <c r="U12" s="373"/>
      <c r="V12" s="374"/>
    </row>
    <row r="13" spans="1:22" ht="23.45" customHeight="1" x14ac:dyDescent="0.25">
      <c r="A13" s="365" t="s">
        <v>129</v>
      </c>
      <c r="B13" s="649">
        <f>'Qtrly''s-Cntsht Book'!D14</f>
        <v>59</v>
      </c>
      <c r="C13" s="649">
        <f>'Qtrly''s-Cntsht Book'!E14</f>
        <v>58</v>
      </c>
      <c r="D13" s="649">
        <f>'Qtrly''s-Cntsht Book'!F14</f>
        <v>55</v>
      </c>
      <c r="E13" s="650">
        <f>'Qtrly''s-Cntsht Book'!I14</f>
        <v>64</v>
      </c>
      <c r="F13" s="650">
        <f>'Qtrly''s-Cntsht Book'!J14</f>
        <v>66</v>
      </c>
      <c r="G13" s="650">
        <f>'Qtrly''s-Cntsht Book'!K14</f>
        <v>71</v>
      </c>
      <c r="H13" s="650">
        <f>'Qtrly''s-Cntsht Book'!N14</f>
        <v>70</v>
      </c>
      <c r="I13" s="650">
        <f>'Qtrly''s-Cntsht Book'!O14</f>
        <v>63</v>
      </c>
      <c r="J13" s="650">
        <f>'Qtrly''s-Cntsht Book'!P14</f>
        <v>69</v>
      </c>
      <c r="K13" s="650">
        <f>'Qtrly''s-Cntsht Book'!S14</f>
        <v>69</v>
      </c>
      <c r="L13" s="650">
        <f>'Qtrly''s-Cntsht Book'!T14</f>
        <v>68</v>
      </c>
      <c r="M13" s="650">
        <f>'Qtrly''s-Cntsht Book'!U14</f>
        <v>63</v>
      </c>
      <c r="N13" s="596">
        <f t="shared" si="1"/>
        <v>64.583333333333329</v>
      </c>
      <c r="O13" s="363">
        <f t="shared" si="0"/>
        <v>23637.5</v>
      </c>
      <c r="R13" s="368"/>
      <c r="S13" s="377"/>
      <c r="T13" s="373"/>
      <c r="U13" s="373"/>
      <c r="V13" s="374"/>
    </row>
    <row r="14" spans="1:22" ht="23.45" customHeight="1" x14ac:dyDescent="0.25">
      <c r="A14" s="364" t="s">
        <v>19</v>
      </c>
      <c r="B14" s="649">
        <f>'Qtrly''s-Cntsht Book'!D15</f>
        <v>403</v>
      </c>
      <c r="C14" s="649">
        <f>'Qtrly''s-Cntsht Book'!E15</f>
        <v>407</v>
      </c>
      <c r="D14" s="649">
        <f>'Qtrly''s-Cntsht Book'!F15</f>
        <v>408</v>
      </c>
      <c r="E14" s="650">
        <f>'Qtrly''s-Cntsht Book'!I15</f>
        <v>416</v>
      </c>
      <c r="F14" s="650">
        <f>'Qtrly''s-Cntsht Book'!J15</f>
        <v>414</v>
      </c>
      <c r="G14" s="650">
        <f>'Qtrly''s-Cntsht Book'!K15</f>
        <v>413</v>
      </c>
      <c r="H14" s="650">
        <f>'Qtrly''s-Cntsht Book'!N15</f>
        <v>396</v>
      </c>
      <c r="I14" s="650">
        <f>'Qtrly''s-Cntsht Book'!O15</f>
        <v>374</v>
      </c>
      <c r="J14" s="650">
        <f>'Qtrly''s-Cntsht Book'!P15</f>
        <v>373</v>
      </c>
      <c r="K14" s="650">
        <f>'Qtrly''s-Cntsht Book'!S15</f>
        <v>373</v>
      </c>
      <c r="L14" s="650">
        <f>'Qtrly''s-Cntsht Book'!T15</f>
        <v>370</v>
      </c>
      <c r="M14" s="650">
        <f>'Qtrly''s-Cntsht Book'!U15</f>
        <v>372</v>
      </c>
      <c r="N14" s="596">
        <f t="shared" si="1"/>
        <v>393.25</v>
      </c>
      <c r="O14" s="363">
        <f t="shared" si="0"/>
        <v>143929.5</v>
      </c>
      <c r="R14" s="368"/>
      <c r="S14" s="375"/>
      <c r="T14" s="373"/>
      <c r="U14" s="373"/>
      <c r="V14" s="374"/>
    </row>
    <row r="15" spans="1:22" ht="23.45" customHeight="1" x14ac:dyDescent="0.25">
      <c r="A15" s="365" t="s">
        <v>25</v>
      </c>
      <c r="B15" s="649">
        <f>'Qtrly''s-Cntsht Book'!D16</f>
        <v>433</v>
      </c>
      <c r="C15" s="649">
        <f>'Qtrly''s-Cntsht Book'!E16</f>
        <v>438</v>
      </c>
      <c r="D15" s="649">
        <f>'Qtrly''s-Cntsht Book'!F16</f>
        <v>449</v>
      </c>
      <c r="E15" s="650">
        <f>'Qtrly''s-Cntsht Book'!I16</f>
        <v>438</v>
      </c>
      <c r="F15" s="650">
        <f>'Qtrly''s-Cntsht Book'!J16</f>
        <v>425</v>
      </c>
      <c r="G15" s="650">
        <f>'Qtrly''s-Cntsht Book'!K16</f>
        <v>425</v>
      </c>
      <c r="H15" s="650">
        <f>'Qtrly''s-Cntsht Book'!N16</f>
        <v>411</v>
      </c>
      <c r="I15" s="650">
        <f>'Qtrly''s-Cntsht Book'!O16</f>
        <v>439</v>
      </c>
      <c r="J15" s="650">
        <f>'Qtrly''s-Cntsht Book'!P16</f>
        <v>440</v>
      </c>
      <c r="K15" s="650">
        <f>'Qtrly''s-Cntsht Book'!S16</f>
        <v>429</v>
      </c>
      <c r="L15" s="650">
        <f>'Qtrly''s-Cntsht Book'!T16</f>
        <v>421</v>
      </c>
      <c r="M15" s="650">
        <f>'Qtrly''s-Cntsht Book'!U16</f>
        <v>425</v>
      </c>
      <c r="N15" s="596">
        <f t="shared" si="1"/>
        <v>431.08333333333331</v>
      </c>
      <c r="O15" s="363">
        <f t="shared" si="0"/>
        <v>157776.5</v>
      </c>
      <c r="R15" s="376"/>
      <c r="S15" s="375"/>
      <c r="T15" s="373"/>
      <c r="U15" s="373"/>
      <c r="V15" s="374"/>
    </row>
    <row r="16" spans="1:22" ht="23.45" customHeight="1" x14ac:dyDescent="0.25">
      <c r="A16" s="365" t="s">
        <v>122</v>
      </c>
      <c r="B16" s="649">
        <f>'Qtrly''s-Cntsht Book'!D17</f>
        <v>138</v>
      </c>
      <c r="C16" s="649">
        <f>'Qtrly''s-Cntsht Book'!E17</f>
        <v>146</v>
      </c>
      <c r="D16" s="649">
        <f>'Qtrly''s-Cntsht Book'!F17</f>
        <v>153</v>
      </c>
      <c r="E16" s="650">
        <f>'Qtrly''s-Cntsht Book'!I17</f>
        <v>133</v>
      </c>
      <c r="F16" s="650">
        <f>'Qtrly''s-Cntsht Book'!J17</f>
        <v>130</v>
      </c>
      <c r="G16" s="650">
        <f>'Qtrly''s-Cntsht Book'!K17</f>
        <v>130</v>
      </c>
      <c r="H16" s="650">
        <f>'Qtrly''s-Cntsht Book'!N17</f>
        <v>124</v>
      </c>
      <c r="I16" s="650">
        <f>'Qtrly''s-Cntsht Book'!O17</f>
        <v>124</v>
      </c>
      <c r="J16" s="650">
        <f>'Qtrly''s-Cntsht Book'!P17</f>
        <v>137</v>
      </c>
      <c r="K16" s="650">
        <f>'Qtrly''s-Cntsht Book'!S17</f>
        <v>130</v>
      </c>
      <c r="L16" s="650">
        <f>'Qtrly''s-Cntsht Book'!T17</f>
        <v>138</v>
      </c>
      <c r="M16" s="650">
        <f>'Qtrly''s-Cntsht Book'!U17</f>
        <v>136</v>
      </c>
      <c r="N16" s="596">
        <f t="shared" si="1"/>
        <v>134.91666666666666</v>
      </c>
      <c r="O16" s="363">
        <f t="shared" si="0"/>
        <v>49379.5</v>
      </c>
      <c r="R16" s="368"/>
      <c r="S16" s="375"/>
      <c r="T16" s="373"/>
      <c r="U16" s="373"/>
      <c r="V16" s="374"/>
    </row>
    <row r="17" spans="1:22" ht="23.45" customHeight="1" thickBot="1" x14ac:dyDescent="0.3">
      <c r="A17" s="365" t="s">
        <v>123</v>
      </c>
      <c r="B17" s="157">
        <f>'Qtrly''s-Cntsht Book'!D110</f>
        <v>0</v>
      </c>
      <c r="C17" s="764">
        <f>'Qtrly''s-Cntsht Book'!E110</f>
        <v>0</v>
      </c>
      <c r="D17" s="764">
        <f>'Qtrly''s-Cntsht Book'!F110</f>
        <v>0</v>
      </c>
      <c r="E17" s="764">
        <f>'Qtrly''s-Cntsht Book'!I110</f>
        <v>0</v>
      </c>
      <c r="F17" s="764">
        <f>'Qtrly''s-Cntsht Book'!J110</f>
        <v>0</v>
      </c>
      <c r="G17" s="764">
        <f>'Qtrly''s-Cntsht Book'!K110</f>
        <v>0</v>
      </c>
      <c r="H17" s="764">
        <f>'Qtrly''s-Cntsht Book'!N110</f>
        <v>0</v>
      </c>
      <c r="I17" s="764">
        <f>'Qtrly''s-Cntsht Book'!O110</f>
        <v>0</v>
      </c>
      <c r="J17" s="764">
        <f>'Qtrly''s-Cntsht Book'!P110</f>
        <v>0</v>
      </c>
      <c r="K17" s="764" t="str">
        <f>'Qtrly''s-Cntsht Book'!S110</f>
        <v>-</v>
      </c>
      <c r="L17" s="764" t="str">
        <f>'Qtrly''s-Cntsht Book'!T110</f>
        <v>-</v>
      </c>
      <c r="M17" s="765" t="str">
        <f>'Qtrly''s-Cntsht Book'!U110</f>
        <v>-</v>
      </c>
      <c r="N17" s="597">
        <f t="shared" si="1"/>
        <v>0</v>
      </c>
      <c r="O17" s="363">
        <f t="shared" ref="O17" si="2">N17*365</f>
        <v>0</v>
      </c>
      <c r="R17" s="368"/>
      <c r="S17" s="378"/>
      <c r="T17" s="373"/>
      <c r="U17" s="373"/>
      <c r="V17" s="379"/>
    </row>
    <row r="18" spans="1:22" ht="23.45" customHeight="1" thickBot="1" x14ac:dyDescent="0.3">
      <c r="A18" s="431" t="s">
        <v>130</v>
      </c>
      <c r="B18" s="464">
        <f>SUM(B4:B17)</f>
        <v>4491</v>
      </c>
      <c r="C18" s="464">
        <f t="shared" ref="C18:L18" si="3">SUM(C4:C17)</f>
        <v>4496</v>
      </c>
      <c r="D18" s="464">
        <f t="shared" si="3"/>
        <v>4512</v>
      </c>
      <c r="E18" s="464">
        <f>SUM(E4:E17)</f>
        <v>4495</v>
      </c>
      <c r="F18" s="464">
        <f t="shared" si="3"/>
        <v>4458</v>
      </c>
      <c r="G18" s="464">
        <f t="shared" si="3"/>
        <v>4436</v>
      </c>
      <c r="H18" s="464">
        <f t="shared" si="3"/>
        <v>4435</v>
      </c>
      <c r="I18" s="464">
        <f t="shared" si="3"/>
        <v>4408</v>
      </c>
      <c r="J18" s="464">
        <f t="shared" si="3"/>
        <v>4408</v>
      </c>
      <c r="K18" s="464">
        <f t="shared" si="3"/>
        <v>4409</v>
      </c>
      <c r="L18" s="464">
        <f t="shared" si="3"/>
        <v>4403</v>
      </c>
      <c r="M18" s="464">
        <f>SUM(M4:M17)</f>
        <v>4408</v>
      </c>
      <c r="N18" s="595">
        <f>SUM(B18:M18)/12</f>
        <v>4446.583333333333</v>
      </c>
      <c r="O18" s="762">
        <f>N18*366</f>
        <v>1627449.5</v>
      </c>
      <c r="Q18" s="763"/>
    </row>
    <row r="19" spans="1:22" ht="31.9" customHeight="1" thickBot="1" x14ac:dyDescent="0.3">
      <c r="A19" s="455" t="s">
        <v>131</v>
      </c>
      <c r="B19" s="456"/>
      <c r="C19" s="456"/>
      <c r="D19" s="456"/>
      <c r="E19" s="456"/>
      <c r="F19" s="457"/>
      <c r="G19" s="456"/>
      <c r="H19" s="456"/>
      <c r="I19" s="456"/>
      <c r="J19" s="456"/>
      <c r="K19" s="456"/>
      <c r="L19" s="456"/>
      <c r="M19" s="456"/>
      <c r="N19" s="458"/>
      <c r="O19" s="459" t="s">
        <v>0</v>
      </c>
    </row>
    <row r="20" spans="1:22" ht="23.45" customHeight="1" x14ac:dyDescent="0.25">
      <c r="A20" s="766" t="s">
        <v>124</v>
      </c>
      <c r="B20" s="767">
        <f>'Qtrly''s-Cntsht Book'!D21</f>
        <v>373</v>
      </c>
      <c r="C20" s="767">
        <f>'Qtrly''s-Cntsht Book'!E21</f>
        <v>381</v>
      </c>
      <c r="D20" s="767">
        <f>'Qtrly''s-Cntsht Book'!F21</f>
        <v>384</v>
      </c>
      <c r="E20" s="767">
        <f>'Qtrly''s-Cntsht Book'!I21</f>
        <v>402</v>
      </c>
      <c r="F20" s="767">
        <f>'Qtrly''s-Cntsht Book'!J21</f>
        <v>393</v>
      </c>
      <c r="G20" s="767">
        <f>'Qtrly''s-Cntsht Book'!K21</f>
        <v>373</v>
      </c>
      <c r="H20" s="767">
        <f>'Qtrly''s-Cntsht Book'!N21</f>
        <v>368</v>
      </c>
      <c r="I20" s="767">
        <f>'Qtrly''s-Cntsht Book'!O21</f>
        <v>398</v>
      </c>
      <c r="J20" s="767">
        <f>'Qtrly''s-Cntsht Book'!P21</f>
        <v>387</v>
      </c>
      <c r="K20" s="767">
        <f>'Qtrly''s-Cntsht Book'!S21</f>
        <v>387</v>
      </c>
      <c r="L20" s="767">
        <f>'Qtrly''s-Cntsht Book'!T21</f>
        <v>402</v>
      </c>
      <c r="M20" s="767">
        <f>'Qtrly''s-Cntsht Book'!U21</f>
        <v>396</v>
      </c>
      <c r="N20" s="768">
        <f t="shared" ref="N20:N22" si="4">SUM(B20:M20)/12</f>
        <v>387</v>
      </c>
      <c r="O20" s="769">
        <f>N20*366</f>
        <v>141642</v>
      </c>
    </row>
    <row r="21" spans="1:22" ht="23.45" customHeight="1" x14ac:dyDescent="0.25">
      <c r="A21" s="365" t="s">
        <v>125</v>
      </c>
      <c r="B21" s="810">
        <f>'Qtrly''s-Cntsht Book'!D22</f>
        <v>0</v>
      </c>
      <c r="C21" s="810">
        <f>'Qtrly''s-Cntsht Book'!E22</f>
        <v>0</v>
      </c>
      <c r="D21" s="810">
        <f>'Qtrly''s-Cntsht Book'!F22</f>
        <v>0</v>
      </c>
      <c r="E21" s="810">
        <f>'Qtrly''s-Cntsht Book'!I22</f>
        <v>0</v>
      </c>
      <c r="F21" s="810">
        <f>'Qtrly''s-Cntsht Book'!J22</f>
        <v>0</v>
      </c>
      <c r="G21" s="810">
        <f>'Qtrly''s-Cntsht Book'!K22</f>
        <v>0</v>
      </c>
      <c r="H21" s="810">
        <f>'Qtrly''s-Cntsht Book'!N22</f>
        <v>0</v>
      </c>
      <c r="I21" s="810">
        <f>'Qtrly''s-Cntsht Book'!O22</f>
        <v>0</v>
      </c>
      <c r="J21" s="810">
        <f>'Qtrly''s-Cntsht Book'!P22</f>
        <v>0</v>
      </c>
      <c r="K21" s="810">
        <f>'Qtrly''s-Cntsht Book'!S22</f>
        <v>0</v>
      </c>
      <c r="L21" s="810">
        <f>'Qtrly''s-Cntsht Book'!T22</f>
        <v>0</v>
      </c>
      <c r="M21" s="810">
        <f>'Qtrly''s-Cntsht Book'!U22</f>
        <v>0</v>
      </c>
      <c r="N21" s="362">
        <f t="shared" si="4"/>
        <v>0</v>
      </c>
      <c r="O21" s="363">
        <f>N21*365</f>
        <v>0</v>
      </c>
    </row>
    <row r="22" spans="1:22" ht="23.45" customHeight="1" x14ac:dyDescent="0.25">
      <c r="A22" s="365" t="s">
        <v>127</v>
      </c>
      <c r="B22" s="810">
        <f>'Qtrly''s-Cntsht Book'!D23</f>
        <v>24</v>
      </c>
      <c r="C22" s="810">
        <f>'Qtrly''s-Cntsht Book'!E23</f>
        <v>25</v>
      </c>
      <c r="D22" s="810">
        <f>'Qtrly''s-Cntsht Book'!F23</f>
        <v>21</v>
      </c>
      <c r="E22" s="810">
        <f>'Qtrly''s-Cntsht Book'!I23</f>
        <v>20</v>
      </c>
      <c r="F22" s="810">
        <f>'Qtrly''s-Cntsht Book'!J23</f>
        <v>18</v>
      </c>
      <c r="G22" s="810">
        <f>'Qtrly''s-Cntsht Book'!K23</f>
        <v>19</v>
      </c>
      <c r="H22" s="810">
        <f>'Qtrly''s-Cntsht Book'!N23</f>
        <v>19</v>
      </c>
      <c r="I22" s="810">
        <f>'Qtrly''s-Cntsht Book'!O23</f>
        <v>23</v>
      </c>
      <c r="J22" s="810">
        <f>'Qtrly''s-Cntsht Book'!P23</f>
        <v>25</v>
      </c>
      <c r="K22" s="810">
        <f>'Qtrly''s-Cntsht Book'!S23</f>
        <v>25</v>
      </c>
      <c r="L22" s="810">
        <f>'Qtrly''s-Cntsht Book'!T23</f>
        <v>20</v>
      </c>
      <c r="M22" s="810">
        <f>'Qtrly''s-Cntsht Book'!U23</f>
        <v>18</v>
      </c>
      <c r="N22" s="362">
        <f t="shared" si="4"/>
        <v>21.416666666666668</v>
      </c>
      <c r="O22" s="363">
        <f>N22*366</f>
        <v>7838.5</v>
      </c>
    </row>
    <row r="23" spans="1:22" ht="23.45" customHeight="1" x14ac:dyDescent="0.25">
      <c r="A23" s="365" t="s">
        <v>126</v>
      </c>
      <c r="B23" s="810">
        <f>'Qtrly''s-Cntsht Book'!D24</f>
        <v>207</v>
      </c>
      <c r="C23" s="810">
        <f>'Qtrly''s-Cntsht Book'!E24</f>
        <v>211</v>
      </c>
      <c r="D23" s="810">
        <f>'Qtrly''s-Cntsht Book'!F24</f>
        <v>218</v>
      </c>
      <c r="E23" s="810">
        <f>'Qtrly''s-Cntsht Book'!I24</f>
        <v>226</v>
      </c>
      <c r="F23" s="810">
        <f>'Qtrly''s-Cntsht Book'!J24</f>
        <v>230</v>
      </c>
      <c r="G23" s="810">
        <f>'Qtrly''s-Cntsht Book'!K24</f>
        <v>223</v>
      </c>
      <c r="H23" s="810">
        <f>'Qtrly''s-Cntsht Book'!N24</f>
        <v>236</v>
      </c>
      <c r="I23" s="810">
        <f>'Qtrly''s-Cntsht Book'!O24</f>
        <v>257</v>
      </c>
      <c r="J23" s="810">
        <f>'Qtrly''s-Cntsht Book'!P24</f>
        <v>269</v>
      </c>
      <c r="K23" s="810">
        <f>'Qtrly''s-Cntsht Book'!S24</f>
        <v>269</v>
      </c>
      <c r="L23" s="810">
        <f>'Qtrly''s-Cntsht Book'!T24</f>
        <v>292</v>
      </c>
      <c r="M23" s="810">
        <f>'Qtrly''s-Cntsht Book'!U24</f>
        <v>291</v>
      </c>
      <c r="N23" s="362">
        <f>SUM(B23:M23)/12</f>
        <v>244.08333333333334</v>
      </c>
      <c r="O23" s="363">
        <f>N23*366</f>
        <v>89334.5</v>
      </c>
    </row>
    <row r="24" spans="1:22" ht="23.45" customHeight="1" x14ac:dyDescent="0.25">
      <c r="A24" s="365" t="s">
        <v>686</v>
      </c>
      <c r="B24" s="810">
        <f>'Qtrly''s-Cntsht Book'!D25</f>
        <v>0</v>
      </c>
      <c r="C24" s="810">
        <f>'Qtrly''s-Cntsht Book'!E25</f>
        <v>0</v>
      </c>
      <c r="D24" s="810">
        <f>'Qtrly''s-Cntsht Book'!F25</f>
        <v>0</v>
      </c>
      <c r="E24" s="810">
        <f>'Qtrly''s-Cntsht Book'!I25</f>
        <v>0</v>
      </c>
      <c r="F24" s="810">
        <f>'Qtrly''s-Cntsht Book'!J25</f>
        <v>0</v>
      </c>
      <c r="G24" s="810">
        <f>'Qtrly''s-Cntsht Book'!K25</f>
        <v>0</v>
      </c>
      <c r="H24" s="810">
        <f>'Qtrly''s-Cntsht Book'!N25</f>
        <v>0</v>
      </c>
      <c r="I24" s="810">
        <f>'Qtrly''s-Cntsht Book'!O25</f>
        <v>0</v>
      </c>
      <c r="J24" s="810">
        <f>'Qtrly''s-Cntsht Book'!P25</f>
        <v>0</v>
      </c>
      <c r="K24" s="810">
        <f>'Qtrly''s-Cntsht Book'!S25</f>
        <v>0</v>
      </c>
      <c r="L24" s="810">
        <f>'Qtrly''s-Cntsht Book'!T25</f>
        <v>0</v>
      </c>
      <c r="M24" s="810">
        <f>'Qtrly''s-Cntsht Book'!U25</f>
        <v>0</v>
      </c>
      <c r="N24" s="362">
        <f t="shared" ref="N24" si="5">SUM(B24:M24)/12</f>
        <v>0</v>
      </c>
      <c r="O24" s="363">
        <f t="shared" ref="O24:O26" si="6">N24*365</f>
        <v>0</v>
      </c>
    </row>
    <row r="25" spans="1:22" ht="23.45" customHeight="1" x14ac:dyDescent="0.25">
      <c r="A25" s="787" t="s">
        <v>687</v>
      </c>
      <c r="B25" s="788">
        <f>'Qtrly''s-Cntsht Book'!D26</f>
        <v>1357</v>
      </c>
      <c r="C25" s="788">
        <f>'Qtrly''s-Cntsht Book'!E26</f>
        <v>1323</v>
      </c>
      <c r="D25" s="788">
        <f>'Qtrly''s-Cntsht Book'!F26</f>
        <v>1344</v>
      </c>
      <c r="E25" s="788">
        <f>'Qtrly''s-Cntsht Book'!I26</f>
        <v>1365</v>
      </c>
      <c r="F25" s="788">
        <f>'Qtrly''s-Cntsht Book'!J26</f>
        <v>1374</v>
      </c>
      <c r="G25" s="788">
        <f>'Qtrly''s-Cntsht Book'!K26</f>
        <v>1389</v>
      </c>
      <c r="H25" s="788">
        <f>'Qtrly''s-Cntsht Book'!N26</f>
        <v>1385</v>
      </c>
      <c r="I25" s="788">
        <f>'Qtrly''s-Cntsht Book'!O26</f>
        <v>1363</v>
      </c>
      <c r="J25" s="788">
        <f>'Qtrly''s-Cntsht Book'!P26</f>
        <v>1338</v>
      </c>
      <c r="K25" s="788">
        <f>'Qtrly''s-Cntsht Book'!S26</f>
        <v>1293</v>
      </c>
      <c r="L25" s="788">
        <f>'Qtrly''s-Cntsht Book'!T26</f>
        <v>1273</v>
      </c>
      <c r="M25" s="788">
        <f>'Qtrly''s-Cntsht Book'!U26</f>
        <v>1265</v>
      </c>
      <c r="N25" s="789">
        <f>SUM(B25:M25)/12</f>
        <v>1339.0833333333333</v>
      </c>
      <c r="O25" s="790">
        <f>N25*366</f>
        <v>490104.5</v>
      </c>
    </row>
    <row r="26" spans="1:22" ht="23.45" customHeight="1" x14ac:dyDescent="0.25">
      <c r="A26" s="365" t="s">
        <v>281</v>
      </c>
      <c r="B26" s="810">
        <f>'Qtrly''s-Cntsht Book'!D88</f>
        <v>0</v>
      </c>
      <c r="C26" s="810">
        <f>'Qtrly''s-Cntsht Book'!E88</f>
        <v>0</v>
      </c>
      <c r="D26" s="810">
        <f>'Qtrly''s-Cntsht Book'!F88</f>
        <v>0</v>
      </c>
      <c r="E26" s="810">
        <f>'Qtrly''s-Cntsht Book'!I88</f>
        <v>0</v>
      </c>
      <c r="F26" s="810">
        <f>'Qtrly''s-Cntsht Book'!J88</f>
        <v>0</v>
      </c>
      <c r="G26" s="810">
        <f>'Qtrly''s-Cntsht Book'!K88</f>
        <v>0</v>
      </c>
      <c r="H26" s="810">
        <f>'Qtrly''s-Cntsht Book'!N88</f>
        <v>0</v>
      </c>
      <c r="I26" s="810">
        <f>'Qtrly''s-Cntsht Book'!O88</f>
        <v>0</v>
      </c>
      <c r="J26" s="810">
        <f>'Qtrly''s-Cntsht Book'!P88</f>
        <v>0</v>
      </c>
      <c r="K26" s="810">
        <f>'Qtrly''s-Cntsht Book'!S27</f>
        <v>0</v>
      </c>
      <c r="L26" s="810">
        <f>'Qtrly''s-Cntsht Book'!T88</f>
        <v>0</v>
      </c>
      <c r="M26" s="810">
        <f>'Qtrly''s-Cntsht Book'!U88</f>
        <v>0</v>
      </c>
      <c r="N26" s="362">
        <f t="shared" ref="N26:N28" si="7">SUM(B26:M26)/12</f>
        <v>0</v>
      </c>
      <c r="O26" s="363">
        <f t="shared" si="6"/>
        <v>0</v>
      </c>
    </row>
    <row r="27" spans="1:22" ht="23.45" customHeight="1" thickBot="1" x14ac:dyDescent="0.3">
      <c r="A27" s="365" t="s">
        <v>128</v>
      </c>
      <c r="B27" s="813">
        <f>'Qtrly''s-Cntsht Book'!D28</f>
        <v>7</v>
      </c>
      <c r="C27" s="813">
        <f>'Qtrly''s-Cntsht Book'!E28</f>
        <v>7</v>
      </c>
      <c r="D27" s="813">
        <f>'Qtrly''s-Cntsht Book'!F28</f>
        <v>7</v>
      </c>
      <c r="E27" s="813">
        <f>'Qtrly''s-Cntsht Book'!I28</f>
        <v>7</v>
      </c>
      <c r="F27" s="813">
        <f>'Qtrly''s-Cntsht Book'!J28</f>
        <v>7</v>
      </c>
      <c r="G27" s="813">
        <f>'Qtrly''s-Cntsht Book'!K28</f>
        <v>7</v>
      </c>
      <c r="H27" s="813">
        <f>'Qtrly''s-Cntsht Book'!N28</f>
        <v>7</v>
      </c>
      <c r="I27" s="813">
        <f>'Qtrly''s-Cntsht Book'!O28</f>
        <v>7</v>
      </c>
      <c r="J27" s="813">
        <f>'Qtrly''s-Cntsht Book'!P28</f>
        <v>7</v>
      </c>
      <c r="K27" s="813">
        <f>'Qtrly''s-Cntsht Book'!S28</f>
        <v>7</v>
      </c>
      <c r="L27" s="813">
        <f>'Qtrly''s-Cntsht Book'!T28</f>
        <v>7</v>
      </c>
      <c r="M27" s="813">
        <f>'Qtrly''s-Cntsht Book'!U28</f>
        <v>6</v>
      </c>
      <c r="N27" s="597">
        <f t="shared" si="7"/>
        <v>6.916666666666667</v>
      </c>
      <c r="O27" s="363">
        <f>N27*366</f>
        <v>2531.5</v>
      </c>
    </row>
    <row r="28" spans="1:22" ht="23.45" customHeight="1" thickBot="1" x14ac:dyDescent="0.3">
      <c r="A28" s="433" t="s">
        <v>132</v>
      </c>
      <c r="B28" s="811">
        <f>'Qtrly''s-Cntsht Book'!D29</f>
        <v>1968</v>
      </c>
      <c r="C28" s="811">
        <f>'Qtrly''s-Cntsht Book'!E29</f>
        <v>1947</v>
      </c>
      <c r="D28" s="811">
        <f>'Qtrly''s-Cntsht Book'!F29</f>
        <v>1974</v>
      </c>
      <c r="E28" s="811">
        <f>'Qtrly''s-Cntsht Book'!I29</f>
        <v>2020</v>
      </c>
      <c r="F28" s="811">
        <f>'Qtrly''s-Cntsht Book'!J29</f>
        <v>2022</v>
      </c>
      <c r="G28" s="811">
        <f>'Qtrly''s-Cntsht Book'!K29</f>
        <v>2011</v>
      </c>
      <c r="H28" s="811">
        <f>'Qtrly''s-Cntsht Book'!N29</f>
        <v>2015</v>
      </c>
      <c r="I28" s="811">
        <f>'Qtrly''s-Cntsht Book'!O29</f>
        <v>2048</v>
      </c>
      <c r="J28" s="811">
        <f>'Qtrly''s-Cntsht Book'!P29</f>
        <v>2026</v>
      </c>
      <c r="K28" s="811">
        <f>'Qtrly''s-Cntsht Book'!S29</f>
        <v>1981</v>
      </c>
      <c r="L28" s="811">
        <f>'Qtrly''s-Cntsht Book'!T29</f>
        <v>1994</v>
      </c>
      <c r="M28" s="811">
        <f>'Qtrly''s-Cntsht Book'!U29</f>
        <v>1976</v>
      </c>
      <c r="N28" s="812">
        <f t="shared" si="7"/>
        <v>1998.5</v>
      </c>
      <c r="O28" s="432">
        <f>SUM(O20:O27)</f>
        <v>731451</v>
      </c>
    </row>
    <row r="29" spans="1:22" ht="28.15" customHeight="1" thickBot="1" x14ac:dyDescent="0.3">
      <c r="A29" s="460" t="s">
        <v>136</v>
      </c>
      <c r="B29" s="461">
        <f t="shared" ref="B29:M29" si="8">B18+B28</f>
        <v>6459</v>
      </c>
      <c r="C29" s="461">
        <f t="shared" si="8"/>
        <v>6443</v>
      </c>
      <c r="D29" s="461">
        <f t="shared" si="8"/>
        <v>6486</v>
      </c>
      <c r="E29" s="461">
        <f t="shared" si="8"/>
        <v>6515</v>
      </c>
      <c r="F29" s="461">
        <f t="shared" si="8"/>
        <v>6480</v>
      </c>
      <c r="G29" s="461">
        <f t="shared" si="8"/>
        <v>6447</v>
      </c>
      <c r="H29" s="461">
        <f t="shared" si="8"/>
        <v>6450</v>
      </c>
      <c r="I29" s="461">
        <f t="shared" si="8"/>
        <v>6456</v>
      </c>
      <c r="J29" s="461">
        <f t="shared" si="8"/>
        <v>6434</v>
      </c>
      <c r="K29" s="461">
        <f t="shared" si="8"/>
        <v>6390</v>
      </c>
      <c r="L29" s="461">
        <f t="shared" si="8"/>
        <v>6397</v>
      </c>
      <c r="M29" s="461">
        <f t="shared" si="8"/>
        <v>6384</v>
      </c>
      <c r="N29" s="462">
        <f>SUM(B29:M29)/12</f>
        <v>6445.083333333333</v>
      </c>
      <c r="O29" s="463">
        <f>O18+O28</f>
        <v>2358900.5</v>
      </c>
    </row>
    <row r="31" spans="1:22" x14ac:dyDescent="0.2">
      <c r="A31" s="221"/>
    </row>
    <row r="33" spans="1:1" ht="15" customHeight="1" x14ac:dyDescent="0.2"/>
    <row r="34" spans="1:1" ht="15.75" x14ac:dyDescent="0.25">
      <c r="A34" s="106"/>
    </row>
    <row r="35" spans="1:1" ht="15" x14ac:dyDescent="0.25">
      <c r="A35" s="115" t="s">
        <v>901</v>
      </c>
    </row>
  </sheetData>
  <mergeCells count="3">
    <mergeCell ref="B2:M2"/>
    <mergeCell ref="N2:N3"/>
    <mergeCell ref="O2:O3"/>
  </mergeCells>
  <phoneticPr fontId="22" type="noConversion"/>
  <printOptions horizontalCentered="1" verticalCentered="1"/>
  <pageMargins left="0.75" right="0.75" top="0.97" bottom="1" header="0.33" footer="0.5"/>
  <pageSetup scale="62" orientation="landscape" r:id="rId1"/>
  <headerFooter alignWithMargins="0">
    <oddHeader>&amp;C&amp;"Arial,Bold"&amp;12DEPARTMENT OF CORRECTIONS
 2025 COST OF CARE 
(Based on FY2024 Actuals)</oddHeader>
    <oddFooter>&amp;L&amp;8&amp;F &amp;A&amp;R&amp;8&amp;D &amp;T</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7" tint="0.59999389629810485"/>
  </sheetPr>
  <dimension ref="A1:Q48"/>
  <sheetViews>
    <sheetView showGridLines="0" zoomScaleNormal="100" workbookViewId="0">
      <selection activeCell="H42" sqref="H42"/>
    </sheetView>
  </sheetViews>
  <sheetFormatPr defaultRowHeight="12.75" x14ac:dyDescent="0.2"/>
  <cols>
    <col min="4" max="4" width="8.28515625" customWidth="1"/>
    <col min="6" max="6" width="8.28515625" customWidth="1"/>
    <col min="8" max="8" width="8.5703125" customWidth="1"/>
    <col min="12" max="12" width="8" customWidth="1"/>
    <col min="15" max="15" width="8.28515625" customWidth="1"/>
    <col min="16" max="16" width="8.5703125" customWidth="1"/>
  </cols>
  <sheetData>
    <row r="1" spans="1:17" x14ac:dyDescent="0.2">
      <c r="A1" s="422" t="s">
        <v>963</v>
      </c>
    </row>
    <row r="2" spans="1:17" x14ac:dyDescent="0.2">
      <c r="A2" s="465"/>
    </row>
    <row r="3" spans="1:17" x14ac:dyDescent="0.2">
      <c r="A3" s="466" t="s">
        <v>368</v>
      </c>
      <c r="B3" s="825">
        <v>4</v>
      </c>
      <c r="C3" s="825">
        <v>6</v>
      </c>
      <c r="D3" s="825">
        <v>7</v>
      </c>
      <c r="E3" s="825">
        <v>8</v>
      </c>
      <c r="F3" s="825">
        <v>6</v>
      </c>
      <c r="G3" s="825">
        <v>7</v>
      </c>
      <c r="H3" s="825">
        <v>22</v>
      </c>
      <c r="I3" s="825">
        <v>10</v>
      </c>
      <c r="J3" s="825">
        <v>9</v>
      </c>
      <c r="K3" s="825">
        <v>12</v>
      </c>
      <c r="L3" s="825">
        <v>14</v>
      </c>
      <c r="M3" s="825">
        <v>15</v>
      </c>
      <c r="N3" s="825">
        <v>10</v>
      </c>
      <c r="O3" s="825">
        <v>13</v>
      </c>
      <c r="P3" s="825">
        <v>12</v>
      </c>
      <c r="Q3" s="826">
        <v>155</v>
      </c>
    </row>
    <row r="4" spans="1:17" x14ac:dyDescent="0.2">
      <c r="A4" s="427"/>
      <c r="B4" s="426" t="s">
        <v>369</v>
      </c>
      <c r="C4" s="426" t="s">
        <v>370</v>
      </c>
      <c r="D4" s="426" t="s">
        <v>371</v>
      </c>
      <c r="E4" s="426" t="s">
        <v>372</v>
      </c>
      <c r="F4" s="426" t="s">
        <v>373</v>
      </c>
      <c r="G4" s="426" t="s">
        <v>374</v>
      </c>
      <c r="H4" s="426" t="s">
        <v>375</v>
      </c>
      <c r="I4" s="426" t="s">
        <v>376</v>
      </c>
      <c r="J4" s="426" t="s">
        <v>377</v>
      </c>
      <c r="K4" s="426" t="s">
        <v>378</v>
      </c>
      <c r="L4" s="426" t="s">
        <v>379</v>
      </c>
      <c r="M4" s="426" t="s">
        <v>380</v>
      </c>
      <c r="N4" s="426" t="s">
        <v>381</v>
      </c>
      <c r="O4" s="426" t="s">
        <v>382</v>
      </c>
      <c r="P4" s="426" t="s">
        <v>383</v>
      </c>
      <c r="Q4" s="427"/>
    </row>
    <row r="5" spans="1:17" x14ac:dyDescent="0.2">
      <c r="A5" t="s">
        <v>384</v>
      </c>
      <c r="B5" s="425">
        <v>33</v>
      </c>
      <c r="C5" s="425">
        <v>9</v>
      </c>
      <c r="D5" s="425">
        <v>23</v>
      </c>
      <c r="E5" s="425">
        <v>25</v>
      </c>
      <c r="F5" s="467">
        <v>0</v>
      </c>
      <c r="G5" s="425">
        <v>44</v>
      </c>
      <c r="H5" s="425">
        <v>38</v>
      </c>
      <c r="I5" s="425">
        <v>72</v>
      </c>
      <c r="J5" s="468">
        <v>29</v>
      </c>
      <c r="K5" s="424">
        <v>3</v>
      </c>
      <c r="L5" s="425">
        <v>22</v>
      </c>
      <c r="M5" s="467">
        <v>24</v>
      </c>
      <c r="N5" s="425">
        <v>4</v>
      </c>
      <c r="O5" s="467">
        <v>25</v>
      </c>
      <c r="P5" s="425">
        <v>3</v>
      </c>
    </row>
    <row r="6" spans="1:17" x14ac:dyDescent="0.2">
      <c r="A6" t="s">
        <v>385</v>
      </c>
      <c r="B6" s="467">
        <v>6</v>
      </c>
      <c r="C6" s="425">
        <v>8</v>
      </c>
      <c r="D6" s="425">
        <v>19</v>
      </c>
      <c r="E6" s="468">
        <v>34</v>
      </c>
      <c r="F6" s="467">
        <v>2</v>
      </c>
      <c r="G6" s="425">
        <v>41</v>
      </c>
      <c r="H6" s="425">
        <v>54</v>
      </c>
      <c r="I6" s="425">
        <v>58</v>
      </c>
      <c r="J6" s="467">
        <v>44</v>
      </c>
      <c r="K6" s="425">
        <v>6</v>
      </c>
      <c r="L6" s="425">
        <v>22</v>
      </c>
      <c r="M6" s="467">
        <v>20</v>
      </c>
      <c r="N6" s="467">
        <v>2</v>
      </c>
      <c r="O6" s="467">
        <v>7</v>
      </c>
      <c r="P6" s="467">
        <v>5</v>
      </c>
    </row>
    <row r="7" spans="1:17" x14ac:dyDescent="0.2">
      <c r="A7" t="s">
        <v>386</v>
      </c>
      <c r="B7" s="425">
        <v>17</v>
      </c>
      <c r="C7" s="468">
        <v>7</v>
      </c>
      <c r="D7" s="467">
        <v>14</v>
      </c>
      <c r="E7" s="425">
        <v>15</v>
      </c>
      <c r="F7" s="425">
        <v>1</v>
      </c>
      <c r="G7" s="467">
        <v>42</v>
      </c>
      <c r="H7" s="467">
        <v>36</v>
      </c>
      <c r="I7" s="467">
        <v>51</v>
      </c>
      <c r="J7" s="467">
        <v>33</v>
      </c>
      <c r="K7" s="467">
        <v>6</v>
      </c>
      <c r="L7" s="467"/>
      <c r="M7" s="425">
        <v>23</v>
      </c>
      <c r="N7" s="425">
        <v>13</v>
      </c>
      <c r="O7" s="467">
        <v>5</v>
      </c>
      <c r="P7" s="467">
        <v>5</v>
      </c>
    </row>
    <row r="8" spans="1:17" x14ac:dyDescent="0.2">
      <c r="A8" t="s">
        <v>387</v>
      </c>
      <c r="B8" s="467">
        <v>16</v>
      </c>
      <c r="C8" s="425">
        <v>3</v>
      </c>
      <c r="D8" s="425">
        <v>16</v>
      </c>
      <c r="E8" s="425">
        <v>17</v>
      </c>
      <c r="F8" s="425">
        <v>3</v>
      </c>
      <c r="G8" s="425">
        <v>52</v>
      </c>
      <c r="H8" s="425">
        <v>46</v>
      </c>
      <c r="I8" s="425">
        <v>54</v>
      </c>
      <c r="J8" s="467">
        <v>32</v>
      </c>
      <c r="K8" s="467">
        <v>1</v>
      </c>
      <c r="L8" s="425"/>
      <c r="M8" s="425">
        <v>27</v>
      </c>
      <c r="N8" s="425">
        <v>5</v>
      </c>
      <c r="O8" s="467">
        <v>15</v>
      </c>
      <c r="P8" s="467">
        <v>6</v>
      </c>
    </row>
    <row r="9" spans="1:17" x14ac:dyDescent="0.2">
      <c r="A9" t="s">
        <v>388</v>
      </c>
      <c r="B9" s="425">
        <v>9</v>
      </c>
      <c r="C9" s="467">
        <v>7</v>
      </c>
      <c r="D9" s="425">
        <v>18</v>
      </c>
      <c r="E9" s="467">
        <v>21</v>
      </c>
      <c r="F9" s="425">
        <v>0</v>
      </c>
      <c r="G9" s="425">
        <v>35</v>
      </c>
      <c r="H9" s="425">
        <v>37</v>
      </c>
      <c r="I9" s="425">
        <v>53</v>
      </c>
      <c r="J9" s="467">
        <v>26</v>
      </c>
      <c r="K9" s="467">
        <v>15</v>
      </c>
      <c r="L9" s="425"/>
      <c r="M9" s="467">
        <v>16</v>
      </c>
      <c r="N9" s="425">
        <v>1</v>
      </c>
      <c r="O9" s="425">
        <v>13</v>
      </c>
      <c r="P9" s="425">
        <v>3</v>
      </c>
    </row>
    <row r="10" spans="1:17" x14ac:dyDescent="0.2">
      <c r="A10" t="s">
        <v>389</v>
      </c>
      <c r="B10" s="425">
        <v>5</v>
      </c>
      <c r="C10" s="467">
        <v>4</v>
      </c>
      <c r="D10" s="425">
        <v>12</v>
      </c>
      <c r="E10" s="467">
        <v>23</v>
      </c>
      <c r="F10" s="425">
        <v>2</v>
      </c>
      <c r="G10" s="425">
        <v>34</v>
      </c>
      <c r="H10" s="425">
        <v>35</v>
      </c>
      <c r="I10" s="468">
        <v>33</v>
      </c>
      <c r="J10" s="467">
        <v>19</v>
      </c>
      <c r="K10" s="467">
        <v>9</v>
      </c>
      <c r="L10" s="425"/>
      <c r="M10" s="467">
        <v>15</v>
      </c>
      <c r="N10" s="425">
        <v>7</v>
      </c>
      <c r="O10" s="425">
        <v>7</v>
      </c>
      <c r="P10" s="467">
        <v>3</v>
      </c>
    </row>
    <row r="11" spans="1:17" x14ac:dyDescent="0.2">
      <c r="A11" t="s">
        <v>390</v>
      </c>
      <c r="B11" s="467">
        <v>4</v>
      </c>
      <c r="C11" s="467">
        <v>5</v>
      </c>
      <c r="D11" s="467">
        <v>24</v>
      </c>
      <c r="E11" s="467">
        <v>7</v>
      </c>
      <c r="F11" s="425">
        <v>1</v>
      </c>
      <c r="G11" s="467">
        <v>31</v>
      </c>
      <c r="H11" s="467">
        <v>49</v>
      </c>
      <c r="I11" s="467">
        <v>49</v>
      </c>
      <c r="J11" s="467">
        <v>22</v>
      </c>
      <c r="K11" s="467">
        <v>4</v>
      </c>
      <c r="L11" s="425"/>
      <c r="M11" s="467">
        <v>14</v>
      </c>
      <c r="N11" s="425">
        <v>4</v>
      </c>
      <c r="O11" s="467">
        <v>11</v>
      </c>
      <c r="P11" s="425">
        <v>2</v>
      </c>
    </row>
    <row r="12" spans="1:17" x14ac:dyDescent="0.2">
      <c r="A12" t="s">
        <v>391</v>
      </c>
      <c r="B12" s="425">
        <v>4</v>
      </c>
      <c r="C12" s="467">
        <v>2</v>
      </c>
      <c r="D12" s="425">
        <v>16</v>
      </c>
      <c r="E12" s="425">
        <v>20</v>
      </c>
      <c r="F12" s="425">
        <v>1</v>
      </c>
      <c r="G12" s="425">
        <v>24</v>
      </c>
      <c r="H12" s="425">
        <v>39</v>
      </c>
      <c r="I12" s="425">
        <v>49</v>
      </c>
      <c r="J12" s="467">
        <v>20</v>
      </c>
      <c r="K12" s="425">
        <v>8</v>
      </c>
      <c r="L12" s="425"/>
      <c r="M12" s="425">
        <v>16</v>
      </c>
      <c r="N12" s="425">
        <v>11</v>
      </c>
      <c r="O12" s="467">
        <v>11</v>
      </c>
      <c r="P12" s="425">
        <v>5</v>
      </c>
    </row>
    <row r="13" spans="1:17" x14ac:dyDescent="0.2">
      <c r="A13" t="s">
        <v>392</v>
      </c>
      <c r="B13" s="425">
        <v>9</v>
      </c>
      <c r="C13" s="425">
        <v>1</v>
      </c>
      <c r="D13" s="425">
        <v>19</v>
      </c>
      <c r="E13" s="425">
        <v>9</v>
      </c>
      <c r="F13" s="467">
        <v>1</v>
      </c>
      <c r="G13" s="425">
        <v>32</v>
      </c>
      <c r="H13" s="425">
        <v>32</v>
      </c>
      <c r="I13" s="425">
        <v>52</v>
      </c>
      <c r="J13" s="467">
        <v>28</v>
      </c>
      <c r="K13" s="425">
        <v>8</v>
      </c>
      <c r="L13" s="425"/>
      <c r="M13" s="425">
        <v>21</v>
      </c>
      <c r="N13" s="425">
        <v>7</v>
      </c>
      <c r="O13" s="425">
        <v>7</v>
      </c>
      <c r="P13" s="425">
        <v>8</v>
      </c>
    </row>
    <row r="14" spans="1:17" x14ac:dyDescent="0.2">
      <c r="A14" t="s">
        <v>393</v>
      </c>
      <c r="B14" s="467">
        <v>9</v>
      </c>
      <c r="C14" s="467">
        <v>4</v>
      </c>
      <c r="D14" s="425">
        <v>17</v>
      </c>
      <c r="E14" s="425">
        <v>8</v>
      </c>
      <c r="F14" s="425">
        <v>0</v>
      </c>
      <c r="G14" s="425">
        <v>32</v>
      </c>
      <c r="H14" s="425">
        <v>58</v>
      </c>
      <c r="I14" s="425">
        <v>60</v>
      </c>
      <c r="J14" s="467">
        <v>30</v>
      </c>
      <c r="K14" s="425">
        <v>4</v>
      </c>
      <c r="L14" s="425"/>
      <c r="M14" s="425">
        <v>14</v>
      </c>
      <c r="N14" s="425">
        <v>9</v>
      </c>
      <c r="O14" s="467">
        <v>21</v>
      </c>
      <c r="P14" s="425">
        <v>7</v>
      </c>
    </row>
    <row r="15" spans="1:17" x14ac:dyDescent="0.2">
      <c r="A15" t="s">
        <v>315</v>
      </c>
      <c r="B15" s="425">
        <v>15</v>
      </c>
      <c r="C15" s="425">
        <v>7</v>
      </c>
      <c r="D15" s="425">
        <v>8</v>
      </c>
      <c r="E15" s="425">
        <v>32</v>
      </c>
      <c r="F15" s="425">
        <v>4</v>
      </c>
      <c r="G15" s="425">
        <v>37</v>
      </c>
      <c r="H15" s="425">
        <v>44</v>
      </c>
      <c r="I15" s="425">
        <v>58</v>
      </c>
      <c r="J15" s="467">
        <v>21</v>
      </c>
      <c r="K15" s="425">
        <v>7</v>
      </c>
      <c r="L15" s="425"/>
      <c r="M15" s="425">
        <v>18</v>
      </c>
      <c r="N15" s="425">
        <v>6</v>
      </c>
      <c r="O15" s="425">
        <v>21</v>
      </c>
      <c r="P15" s="425">
        <v>3</v>
      </c>
    </row>
    <row r="16" spans="1:17" x14ac:dyDescent="0.2">
      <c r="A16" t="s">
        <v>316</v>
      </c>
      <c r="B16" s="467">
        <v>14</v>
      </c>
      <c r="C16" s="467">
        <v>5</v>
      </c>
      <c r="D16" s="425">
        <v>18</v>
      </c>
      <c r="E16" s="467">
        <v>8</v>
      </c>
      <c r="F16" s="425">
        <v>5</v>
      </c>
      <c r="G16" s="425">
        <v>54</v>
      </c>
      <c r="H16" s="467">
        <v>35</v>
      </c>
      <c r="I16" s="425">
        <v>45</v>
      </c>
      <c r="J16" s="467">
        <v>27</v>
      </c>
      <c r="K16" s="467">
        <v>5</v>
      </c>
      <c r="L16" s="425"/>
      <c r="M16" s="467">
        <v>10</v>
      </c>
      <c r="N16" s="425">
        <v>8</v>
      </c>
      <c r="O16" s="425">
        <v>15</v>
      </c>
      <c r="P16" s="425">
        <v>3</v>
      </c>
      <c r="Q16" s="465" t="s">
        <v>394</v>
      </c>
    </row>
    <row r="17" spans="1:17" x14ac:dyDescent="0.2">
      <c r="A17" s="453" t="s">
        <v>26</v>
      </c>
      <c r="B17" s="469">
        <f>SUM(B5:B16)</f>
        <v>141</v>
      </c>
      <c r="C17" s="469">
        <f t="shared" ref="C17:P17" si="0">SUM(C5:C16)</f>
        <v>62</v>
      </c>
      <c r="D17" s="469">
        <f t="shared" si="0"/>
        <v>204</v>
      </c>
      <c r="E17" s="469">
        <v>219</v>
      </c>
      <c r="F17" s="469">
        <f t="shared" si="0"/>
        <v>20</v>
      </c>
      <c r="G17" s="469">
        <f t="shared" si="0"/>
        <v>458</v>
      </c>
      <c r="H17" s="469">
        <f t="shared" si="0"/>
        <v>503</v>
      </c>
      <c r="I17" s="469">
        <f>SUM(I5:I16)</f>
        <v>634</v>
      </c>
      <c r="J17" s="469">
        <f t="shared" si="0"/>
        <v>331</v>
      </c>
      <c r="K17" s="469">
        <f t="shared" si="0"/>
        <v>76</v>
      </c>
      <c r="L17" s="469">
        <f t="shared" si="0"/>
        <v>44</v>
      </c>
      <c r="M17" s="469">
        <f t="shared" si="0"/>
        <v>218</v>
      </c>
      <c r="N17" s="469">
        <f t="shared" si="0"/>
        <v>77</v>
      </c>
      <c r="O17" s="469">
        <f t="shared" si="0"/>
        <v>158</v>
      </c>
      <c r="P17" s="469">
        <f t="shared" si="0"/>
        <v>53</v>
      </c>
      <c r="Q17" s="465" t="s">
        <v>395</v>
      </c>
    </row>
    <row r="18" spans="1:17" x14ac:dyDescent="0.2">
      <c r="A18" s="453" t="s">
        <v>412</v>
      </c>
      <c r="B18" s="470">
        <v>11.75</v>
      </c>
      <c r="C18" s="470">
        <v>5.17</v>
      </c>
      <c r="D18" s="470">
        <v>17</v>
      </c>
      <c r="E18" s="470">
        <v>18.25</v>
      </c>
      <c r="F18" s="470">
        <v>1.67</v>
      </c>
      <c r="G18" s="470">
        <v>38.17</v>
      </c>
      <c r="H18" s="470">
        <v>41.92</v>
      </c>
      <c r="I18" s="470">
        <v>52.83</v>
      </c>
      <c r="J18" s="470">
        <v>27.58</v>
      </c>
      <c r="K18" s="470">
        <v>6.33</v>
      </c>
      <c r="L18" s="470">
        <v>22</v>
      </c>
      <c r="M18" s="470">
        <v>18.170000000000002</v>
      </c>
      <c r="N18" s="470">
        <v>6.42</v>
      </c>
      <c r="O18" s="470">
        <v>13.17</v>
      </c>
      <c r="P18" s="470">
        <v>4.42</v>
      </c>
      <c r="Q18" s="827">
        <f>SUM(B17:P17)</f>
        <v>3198</v>
      </c>
    </row>
    <row r="19" spans="1:17" x14ac:dyDescent="0.2">
      <c r="I19" s="427"/>
    </row>
    <row r="20" spans="1:17" x14ac:dyDescent="0.2">
      <c r="A20" s="422" t="s">
        <v>965</v>
      </c>
    </row>
    <row r="21" spans="1:17" x14ac:dyDescent="0.2">
      <c r="A21" s="465"/>
    </row>
    <row r="22" spans="1:17" x14ac:dyDescent="0.2">
      <c r="A22" s="466" t="s">
        <v>396</v>
      </c>
      <c r="B22" s="471">
        <v>15</v>
      </c>
      <c r="C22" s="471">
        <v>7</v>
      </c>
      <c r="D22" s="471">
        <v>15</v>
      </c>
      <c r="E22" s="471">
        <v>20</v>
      </c>
      <c r="F22" s="471">
        <v>14</v>
      </c>
      <c r="G22" s="471">
        <v>10</v>
      </c>
      <c r="H22" s="471">
        <v>30</v>
      </c>
      <c r="I22" s="471">
        <v>30</v>
      </c>
      <c r="J22" s="471">
        <v>30</v>
      </c>
      <c r="K22" s="471">
        <v>15</v>
      </c>
      <c r="L22" s="471">
        <v>30</v>
      </c>
      <c r="M22" s="471">
        <v>10</v>
      </c>
      <c r="N22" s="471">
        <v>30</v>
      </c>
      <c r="O22" s="471">
        <v>10</v>
      </c>
      <c r="P22" s="471">
        <v>30</v>
      </c>
      <c r="Q22" s="621">
        <v>266</v>
      </c>
    </row>
    <row r="23" spans="1:17" x14ac:dyDescent="0.2">
      <c r="A23" s="427"/>
      <c r="B23" s="426" t="s">
        <v>369</v>
      </c>
      <c r="C23" s="426" t="s">
        <v>370</v>
      </c>
      <c r="D23" s="426" t="s">
        <v>371</v>
      </c>
      <c r="E23" s="426" t="s">
        <v>372</v>
      </c>
      <c r="F23" s="426" t="s">
        <v>373</v>
      </c>
      <c r="G23" s="426" t="s">
        <v>374</v>
      </c>
      <c r="H23" s="426" t="s">
        <v>375</v>
      </c>
      <c r="I23" s="426" t="s">
        <v>376</v>
      </c>
      <c r="J23" s="426" t="s">
        <v>377</v>
      </c>
      <c r="K23" s="426" t="s">
        <v>378</v>
      </c>
      <c r="L23" s="426" t="s">
        <v>379</v>
      </c>
      <c r="M23" s="426" t="s">
        <v>380</v>
      </c>
      <c r="N23" s="426" t="s">
        <v>381</v>
      </c>
      <c r="O23" s="426" t="s">
        <v>382</v>
      </c>
      <c r="P23" s="426" t="s">
        <v>383</v>
      </c>
      <c r="Q23" s="427"/>
    </row>
    <row r="24" spans="1:17" x14ac:dyDescent="0.2">
      <c r="A24" t="s">
        <v>384</v>
      </c>
      <c r="B24" s="425">
        <v>93</v>
      </c>
      <c r="C24" s="425">
        <v>38.5</v>
      </c>
      <c r="D24" s="425">
        <v>119</v>
      </c>
      <c r="E24" s="425">
        <v>123</v>
      </c>
      <c r="F24" s="425">
        <v>0</v>
      </c>
      <c r="G24" s="425">
        <v>87.5</v>
      </c>
      <c r="H24" s="425">
        <v>156.5</v>
      </c>
      <c r="I24" s="425">
        <v>221.5</v>
      </c>
      <c r="J24" s="425">
        <v>98.5</v>
      </c>
      <c r="K24" s="425">
        <v>6</v>
      </c>
      <c r="L24" s="425">
        <v>75.5</v>
      </c>
      <c r="M24" s="425">
        <v>46</v>
      </c>
      <c r="N24" s="425">
        <v>18</v>
      </c>
      <c r="O24" s="425">
        <v>123</v>
      </c>
      <c r="P24" s="425">
        <v>2</v>
      </c>
    </row>
    <row r="25" spans="1:17" x14ac:dyDescent="0.2">
      <c r="A25" t="s">
        <v>385</v>
      </c>
      <c r="B25" s="425">
        <v>18.5</v>
      </c>
      <c r="C25" s="425">
        <v>37</v>
      </c>
      <c r="D25" s="425">
        <v>75.5</v>
      </c>
      <c r="E25" s="425">
        <v>115</v>
      </c>
      <c r="F25" s="425">
        <v>11</v>
      </c>
      <c r="G25" s="425">
        <v>81</v>
      </c>
      <c r="H25" s="425">
        <v>224</v>
      </c>
      <c r="I25" s="425">
        <v>205</v>
      </c>
      <c r="J25" s="425">
        <v>110.5</v>
      </c>
      <c r="K25" s="425">
        <v>10</v>
      </c>
      <c r="L25" s="425">
        <v>48.5</v>
      </c>
      <c r="M25" s="425">
        <v>63.5</v>
      </c>
      <c r="N25" s="425">
        <v>15</v>
      </c>
      <c r="O25" s="425">
        <v>10.5</v>
      </c>
      <c r="P25" s="425">
        <v>19</v>
      </c>
    </row>
    <row r="26" spans="1:17" x14ac:dyDescent="0.2">
      <c r="A26" t="s">
        <v>386</v>
      </c>
      <c r="B26" s="425">
        <v>87</v>
      </c>
      <c r="C26" s="425">
        <v>9</v>
      </c>
      <c r="D26" s="425">
        <v>110</v>
      </c>
      <c r="E26" s="425">
        <v>23</v>
      </c>
      <c r="F26" s="425">
        <v>2</v>
      </c>
      <c r="G26" s="425">
        <v>76</v>
      </c>
      <c r="H26" s="425">
        <v>153.5</v>
      </c>
      <c r="I26" s="425">
        <v>201</v>
      </c>
      <c r="J26" s="425">
        <v>267</v>
      </c>
      <c r="K26" s="425">
        <v>22.5</v>
      </c>
      <c r="L26" s="425"/>
      <c r="M26" s="425">
        <v>62</v>
      </c>
      <c r="N26" s="425">
        <v>54.5</v>
      </c>
      <c r="O26" s="425">
        <v>36</v>
      </c>
      <c r="P26" s="425">
        <v>39</v>
      </c>
    </row>
    <row r="27" spans="1:17" x14ac:dyDescent="0.2">
      <c r="A27" t="s">
        <v>387</v>
      </c>
      <c r="B27" s="425">
        <v>64</v>
      </c>
      <c r="C27" s="425">
        <v>22.5</v>
      </c>
      <c r="D27" s="425">
        <v>68</v>
      </c>
      <c r="E27" s="425">
        <v>42</v>
      </c>
      <c r="F27" s="425">
        <v>4.5</v>
      </c>
      <c r="G27" s="425">
        <v>109.5</v>
      </c>
      <c r="H27" s="425">
        <v>230.5</v>
      </c>
      <c r="I27" s="425">
        <v>206</v>
      </c>
      <c r="J27" s="425">
        <v>181.5</v>
      </c>
      <c r="K27" s="425">
        <v>7</v>
      </c>
      <c r="L27" s="425"/>
      <c r="M27" s="425">
        <v>89.5</v>
      </c>
      <c r="N27" s="425">
        <v>8.5</v>
      </c>
      <c r="O27" s="425">
        <v>87.5</v>
      </c>
      <c r="P27" s="425">
        <v>31</v>
      </c>
    </row>
    <row r="28" spans="1:17" x14ac:dyDescent="0.2">
      <c r="A28" t="s">
        <v>388</v>
      </c>
      <c r="B28" s="425">
        <v>48.5</v>
      </c>
      <c r="C28" s="425">
        <v>31.5</v>
      </c>
      <c r="D28" s="425">
        <v>66</v>
      </c>
      <c r="E28" s="425">
        <v>61</v>
      </c>
      <c r="F28" s="425">
        <v>0</v>
      </c>
      <c r="G28" s="425">
        <v>77.5</v>
      </c>
      <c r="H28" s="425">
        <v>209.5</v>
      </c>
      <c r="I28" s="425">
        <v>209</v>
      </c>
      <c r="J28" s="425">
        <v>158</v>
      </c>
      <c r="K28" s="425">
        <v>84.5</v>
      </c>
      <c r="L28" s="425"/>
      <c r="M28" s="425">
        <v>70</v>
      </c>
      <c r="N28" s="425">
        <v>1</v>
      </c>
      <c r="O28" s="425">
        <v>65</v>
      </c>
      <c r="P28" s="425">
        <v>4</v>
      </c>
    </row>
    <row r="29" spans="1:17" x14ac:dyDescent="0.2">
      <c r="A29" t="s">
        <v>389</v>
      </c>
      <c r="B29" s="425">
        <v>20.5</v>
      </c>
      <c r="C29" s="425">
        <v>6.5</v>
      </c>
      <c r="D29" s="425">
        <v>51.5</v>
      </c>
      <c r="E29" s="425">
        <v>132.5</v>
      </c>
      <c r="F29" s="425">
        <v>3.5</v>
      </c>
      <c r="G29" s="425">
        <v>74</v>
      </c>
      <c r="H29" s="425">
        <v>259</v>
      </c>
      <c r="I29" s="423">
        <v>117</v>
      </c>
      <c r="J29" s="425">
        <v>59</v>
      </c>
      <c r="K29" s="425">
        <v>31</v>
      </c>
      <c r="L29" s="425"/>
      <c r="M29" s="425">
        <v>39.5</v>
      </c>
      <c r="N29" s="425">
        <v>48</v>
      </c>
      <c r="O29" s="425">
        <v>40</v>
      </c>
      <c r="P29" s="425">
        <v>5</v>
      </c>
    </row>
    <row r="30" spans="1:17" x14ac:dyDescent="0.2">
      <c r="A30" t="s">
        <v>390</v>
      </c>
      <c r="B30" s="425">
        <v>15</v>
      </c>
      <c r="C30" s="425">
        <v>40.5</v>
      </c>
      <c r="D30" s="425">
        <v>91</v>
      </c>
      <c r="E30" s="425">
        <v>37</v>
      </c>
      <c r="F30" s="425">
        <v>2</v>
      </c>
      <c r="G30" s="425">
        <v>83</v>
      </c>
      <c r="H30" s="425">
        <v>240.5</v>
      </c>
      <c r="I30" s="425">
        <v>240</v>
      </c>
      <c r="J30" s="425">
        <v>140</v>
      </c>
      <c r="K30" s="425">
        <v>18.5</v>
      </c>
      <c r="L30" s="425"/>
      <c r="M30" s="425">
        <v>32.5</v>
      </c>
      <c r="N30" s="425">
        <v>17</v>
      </c>
      <c r="O30" s="425">
        <v>34.5</v>
      </c>
      <c r="P30" s="425">
        <v>11</v>
      </c>
    </row>
    <row r="31" spans="1:17" x14ac:dyDescent="0.2">
      <c r="A31" t="s">
        <v>391</v>
      </c>
      <c r="B31" s="425">
        <v>17</v>
      </c>
      <c r="C31" s="425">
        <v>21.5</v>
      </c>
      <c r="D31" s="425">
        <v>62.5</v>
      </c>
      <c r="E31" s="467">
        <v>139.5</v>
      </c>
      <c r="F31" s="425">
        <v>0.5</v>
      </c>
      <c r="G31" s="425">
        <v>63</v>
      </c>
      <c r="H31" s="425">
        <v>263</v>
      </c>
      <c r="I31" s="425">
        <v>240</v>
      </c>
      <c r="J31" s="425">
        <v>128</v>
      </c>
      <c r="K31" s="425">
        <v>15.5</v>
      </c>
      <c r="L31" s="425"/>
      <c r="M31" s="425">
        <v>59</v>
      </c>
      <c r="N31" s="425">
        <v>51</v>
      </c>
      <c r="O31" s="467">
        <v>21.5</v>
      </c>
      <c r="P31" s="425">
        <v>10</v>
      </c>
    </row>
    <row r="32" spans="1:17" x14ac:dyDescent="0.2">
      <c r="A32" t="s">
        <v>397</v>
      </c>
      <c r="B32" s="425">
        <v>47.5</v>
      </c>
      <c r="C32" s="425">
        <v>1.5</v>
      </c>
      <c r="D32" s="425">
        <v>73</v>
      </c>
      <c r="E32" s="425">
        <v>29.5</v>
      </c>
      <c r="F32" s="425">
        <v>1</v>
      </c>
      <c r="G32" s="425">
        <v>87.5</v>
      </c>
      <c r="H32" s="425">
        <v>158</v>
      </c>
      <c r="I32" s="425">
        <v>222.5</v>
      </c>
      <c r="J32" s="425">
        <v>161.5</v>
      </c>
      <c r="K32" s="425">
        <v>25.5</v>
      </c>
      <c r="L32" s="425"/>
      <c r="M32" s="425">
        <v>47</v>
      </c>
      <c r="N32" s="425">
        <v>77</v>
      </c>
      <c r="O32" s="425">
        <v>40</v>
      </c>
      <c r="P32" s="425">
        <v>29</v>
      </c>
    </row>
    <row r="33" spans="1:17" x14ac:dyDescent="0.2">
      <c r="A33" t="s">
        <v>398</v>
      </c>
      <c r="B33" s="425">
        <v>38</v>
      </c>
      <c r="C33" s="425">
        <v>15</v>
      </c>
      <c r="D33" s="425">
        <v>79.5</v>
      </c>
      <c r="E33" s="425">
        <v>22.5</v>
      </c>
      <c r="F33" s="425">
        <v>0</v>
      </c>
      <c r="G33" s="425">
        <v>65.5</v>
      </c>
      <c r="H33" s="425">
        <v>224.5</v>
      </c>
      <c r="I33" s="425">
        <v>225</v>
      </c>
      <c r="J33" s="425">
        <v>141.5</v>
      </c>
      <c r="K33" s="425">
        <v>15.5</v>
      </c>
      <c r="L33" s="472"/>
      <c r="M33" s="425">
        <v>31</v>
      </c>
      <c r="N33" s="425">
        <v>34</v>
      </c>
      <c r="O33" s="467">
        <v>132</v>
      </c>
      <c r="P33" s="425">
        <v>40</v>
      </c>
    </row>
    <row r="34" spans="1:17" x14ac:dyDescent="0.2">
      <c r="A34" t="s">
        <v>399</v>
      </c>
      <c r="B34" s="425">
        <v>64.5</v>
      </c>
      <c r="C34" s="425">
        <v>7</v>
      </c>
      <c r="D34" s="425">
        <v>54</v>
      </c>
      <c r="E34" s="425">
        <v>82</v>
      </c>
      <c r="F34" s="425">
        <v>4</v>
      </c>
      <c r="G34" s="425">
        <v>67.5</v>
      </c>
      <c r="H34" s="425">
        <v>189.5</v>
      </c>
      <c r="I34" s="425">
        <v>235</v>
      </c>
      <c r="J34" s="425">
        <v>117</v>
      </c>
      <c r="K34" s="425">
        <v>17.5</v>
      </c>
      <c r="L34" s="425"/>
      <c r="M34" s="425">
        <v>54</v>
      </c>
      <c r="N34" s="425">
        <v>14</v>
      </c>
      <c r="O34" s="425">
        <v>59</v>
      </c>
      <c r="P34" s="425">
        <v>25</v>
      </c>
    </row>
    <row r="35" spans="1:17" x14ac:dyDescent="0.2">
      <c r="A35" t="s">
        <v>316</v>
      </c>
      <c r="B35" s="425">
        <v>67</v>
      </c>
      <c r="C35" s="425">
        <v>11.5</v>
      </c>
      <c r="D35" s="425">
        <v>124</v>
      </c>
      <c r="E35" s="425">
        <v>12</v>
      </c>
      <c r="F35" s="425">
        <v>18</v>
      </c>
      <c r="G35" s="425">
        <v>117</v>
      </c>
      <c r="H35" s="425">
        <v>188.5</v>
      </c>
      <c r="I35" s="425">
        <v>170.5</v>
      </c>
      <c r="J35" s="425">
        <v>129.5</v>
      </c>
      <c r="K35" s="467">
        <v>8</v>
      </c>
      <c r="L35" s="425"/>
      <c r="M35" s="425">
        <v>28.5</v>
      </c>
      <c r="N35" s="425">
        <v>28.5</v>
      </c>
      <c r="O35" s="425">
        <v>33.5</v>
      </c>
      <c r="P35" s="425">
        <v>7</v>
      </c>
      <c r="Q35" s="465" t="s">
        <v>26</v>
      </c>
    </row>
    <row r="36" spans="1:17" x14ac:dyDescent="0.2">
      <c r="A36" s="453" t="s">
        <v>26</v>
      </c>
      <c r="B36" s="469">
        <f>SUM(B24:B35)</f>
        <v>580.5</v>
      </c>
      <c r="C36" s="469">
        <f>SUM(C24:C35)</f>
        <v>242</v>
      </c>
      <c r="D36" s="469">
        <f t="shared" ref="D36:P36" si="1">SUM(D24:D35)</f>
        <v>974</v>
      </c>
      <c r="E36" s="469">
        <f t="shared" si="1"/>
        <v>819</v>
      </c>
      <c r="F36" s="469">
        <f t="shared" si="1"/>
        <v>46.5</v>
      </c>
      <c r="G36" s="469">
        <f t="shared" si="1"/>
        <v>989</v>
      </c>
      <c r="H36" s="469">
        <f t="shared" si="1"/>
        <v>2497</v>
      </c>
      <c r="I36" s="469">
        <f t="shared" si="1"/>
        <v>2492.5</v>
      </c>
      <c r="J36" s="469">
        <f t="shared" si="1"/>
        <v>1692</v>
      </c>
      <c r="K36" s="469">
        <f t="shared" si="1"/>
        <v>261.5</v>
      </c>
      <c r="L36" s="469">
        <f t="shared" si="1"/>
        <v>124</v>
      </c>
      <c r="M36" s="469">
        <f t="shared" si="1"/>
        <v>622.5</v>
      </c>
      <c r="N36" s="469">
        <f t="shared" si="1"/>
        <v>366.5</v>
      </c>
      <c r="O36" s="469">
        <f t="shared" si="1"/>
        <v>682.5</v>
      </c>
      <c r="P36" s="469">
        <f t="shared" si="1"/>
        <v>222</v>
      </c>
      <c r="Q36" s="465" t="s">
        <v>400</v>
      </c>
    </row>
    <row r="37" spans="1:17" x14ac:dyDescent="0.2">
      <c r="A37" s="453" t="s">
        <v>412</v>
      </c>
      <c r="B37" s="454">
        <v>48.38</v>
      </c>
      <c r="C37" s="454">
        <v>20.170000000000002</v>
      </c>
      <c r="D37" s="454">
        <v>81.17</v>
      </c>
      <c r="E37" s="454">
        <v>68.25</v>
      </c>
      <c r="F37" s="454">
        <v>3.88</v>
      </c>
      <c r="G37" s="454">
        <v>82.42</v>
      </c>
      <c r="H37" s="454">
        <v>208.08</v>
      </c>
      <c r="I37" s="454">
        <v>207.71</v>
      </c>
      <c r="J37" s="454">
        <v>141</v>
      </c>
      <c r="K37" s="454">
        <v>21.79</v>
      </c>
      <c r="L37" s="454">
        <v>62</v>
      </c>
      <c r="M37" s="454">
        <v>51.88</v>
      </c>
      <c r="N37" s="454">
        <v>30.54</v>
      </c>
      <c r="O37" s="454">
        <v>56.88</v>
      </c>
      <c r="P37" s="454">
        <v>18.5</v>
      </c>
      <c r="Q37" s="473">
        <f>SUM(B36:P36)</f>
        <v>12611.5</v>
      </c>
    </row>
    <row r="41" spans="1:17" x14ac:dyDescent="0.2">
      <c r="A41" s="422" t="s">
        <v>964</v>
      </c>
      <c r="B41">
        <f>Q37/366</f>
        <v>34.457650273224047</v>
      </c>
    </row>
    <row r="42" spans="1:17" ht="15.75" x14ac:dyDescent="0.25">
      <c r="A42" s="108" t="s">
        <v>833</v>
      </c>
      <c r="H42" s="672">
        <f>B41</f>
        <v>34.457650273224047</v>
      </c>
    </row>
    <row r="47" spans="1:17" s="7" customFormat="1" ht="12" x14ac:dyDescent="0.2">
      <c r="A47" s="933" t="s">
        <v>888</v>
      </c>
    </row>
    <row r="48" spans="1:17" x14ac:dyDescent="0.2">
      <c r="A48" s="430" t="s">
        <v>899</v>
      </c>
    </row>
  </sheetData>
  <phoneticPr fontId="67" type="noConversion"/>
  <pageMargins left="0" right="0" top="0.75" bottom="0.25" header="0.3" footer="0.3"/>
  <pageSetup scale="86" orientation="landscape" r:id="rId1"/>
  <headerFooter>
    <oddHeader>&amp;C&amp;"Arial,Bold"&amp;12DEPARTMENT OF CORRECTIONS
 2025 COST OF CARE 
(Based on FY2024 Actuals)</oddHeader>
    <oddFooter>&amp;L&amp;8&amp;F&amp;A&amp;R&amp;8&amp;D &amp; &amp;T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7" tint="0.59999389629810485"/>
  </sheetPr>
  <dimension ref="A1:J61"/>
  <sheetViews>
    <sheetView showGridLines="0" zoomScaleNormal="100" workbookViewId="0">
      <selection activeCell="A4" sqref="A4"/>
    </sheetView>
  </sheetViews>
  <sheetFormatPr defaultRowHeight="12.75" x14ac:dyDescent="0.2"/>
  <cols>
    <col min="1" max="1" width="24.140625" customWidth="1"/>
    <col min="2" max="2" width="13.42578125" customWidth="1"/>
    <col min="3" max="3" width="13.140625" customWidth="1"/>
    <col min="4" max="4" width="13.28515625" customWidth="1"/>
    <col min="5" max="5" width="13.85546875" customWidth="1"/>
    <col min="6" max="6" width="13.7109375" style="760" customWidth="1"/>
    <col min="7" max="7" width="13.5703125" style="760" customWidth="1"/>
    <col min="8" max="8" width="8.28515625" customWidth="1"/>
    <col min="9" max="9" width="1.28515625" customWidth="1"/>
    <col min="10" max="10" width="11.85546875" customWidth="1"/>
  </cols>
  <sheetData>
    <row r="1" spans="1:10" ht="14.45" customHeight="1" x14ac:dyDescent="0.2">
      <c r="A1" s="1012" t="s">
        <v>958</v>
      </c>
      <c r="B1" s="1012"/>
      <c r="C1" s="1012"/>
      <c r="D1" s="1012"/>
      <c r="E1" s="1012"/>
      <c r="F1" s="1012"/>
      <c r="G1" s="1012"/>
      <c r="H1" s="1012"/>
    </row>
    <row r="2" spans="1:10" x14ac:dyDescent="0.2">
      <c r="A2" s="427"/>
      <c r="F2"/>
      <c r="G2"/>
    </row>
    <row r="3" spans="1:10" ht="44.25" customHeight="1" x14ac:dyDescent="0.2">
      <c r="A3" s="917" t="s">
        <v>612</v>
      </c>
      <c r="B3" s="918" t="s">
        <v>902</v>
      </c>
      <c r="C3" s="918" t="s">
        <v>903</v>
      </c>
      <c r="D3" s="918" t="s">
        <v>904</v>
      </c>
      <c r="E3" s="918" t="s">
        <v>905</v>
      </c>
      <c r="F3" s="918" t="s">
        <v>906</v>
      </c>
      <c r="G3" s="918" t="s">
        <v>907</v>
      </c>
      <c r="H3" s="918" t="s">
        <v>791</v>
      </c>
    </row>
    <row r="4" spans="1:10" x14ac:dyDescent="0.2">
      <c r="A4" t="s">
        <v>908</v>
      </c>
      <c r="B4" s="95">
        <v>15.30958904109589</v>
      </c>
      <c r="C4" s="95">
        <v>79.098630136986301</v>
      </c>
      <c r="D4" s="95">
        <v>0</v>
      </c>
      <c r="E4" s="95">
        <v>2.7397260273972599E-3</v>
      </c>
      <c r="F4" s="95">
        <v>0</v>
      </c>
      <c r="G4" s="95">
        <v>0</v>
      </c>
      <c r="H4" s="95">
        <f>SUM(Table1[[#This Row],[Misdemeanor 
Male Inmate     ]:[Felon 
Female Unsentenced]])</f>
        <v>94.410958904109592</v>
      </c>
    </row>
    <row r="5" spans="1:10" x14ac:dyDescent="0.2">
      <c r="A5" t="s">
        <v>909</v>
      </c>
      <c r="B5" s="95">
        <v>2.602739726027397</v>
      </c>
      <c r="C5" s="95">
        <v>12.8986301369863</v>
      </c>
      <c r="D5" s="95">
        <v>0.31780821917808222</v>
      </c>
      <c r="E5" s="95">
        <v>3.1150684931506851</v>
      </c>
      <c r="F5" s="95">
        <v>0.1287671232876712</v>
      </c>
      <c r="G5" s="95">
        <v>5.6356164383561644</v>
      </c>
      <c r="H5" s="95">
        <f>SUM(Table1[[#This Row],[Misdemeanor 
Male Inmate     ]:[Felon 
Female Unsentenced]])</f>
        <v>24.698630136986296</v>
      </c>
    </row>
    <row r="6" spans="1:10" x14ac:dyDescent="0.2">
      <c r="A6" t="s">
        <v>820</v>
      </c>
      <c r="B6" s="95">
        <v>7.6931506849315072</v>
      </c>
      <c r="C6" s="95">
        <v>51.917808219178077</v>
      </c>
      <c r="D6" s="95">
        <v>0</v>
      </c>
      <c r="E6" s="95">
        <v>0</v>
      </c>
      <c r="F6" s="95">
        <v>0</v>
      </c>
      <c r="G6" s="95">
        <v>0</v>
      </c>
      <c r="H6" s="95">
        <f>SUM(Table1[[#This Row],[Misdemeanor 
Male Inmate     ]:[Felon 
Female Unsentenced]])</f>
        <v>59.610958904109587</v>
      </c>
    </row>
    <row r="7" spans="1:10" x14ac:dyDescent="0.2">
      <c r="A7" t="s">
        <v>910</v>
      </c>
      <c r="B7" s="95">
        <v>3.701369863013698</v>
      </c>
      <c r="C7" s="95">
        <v>33.389041095890413</v>
      </c>
      <c r="D7" s="95">
        <v>0.9506849315068493</v>
      </c>
      <c r="E7" s="95">
        <v>7.7616438356164386</v>
      </c>
      <c r="F7" s="95">
        <v>1.284931506849315</v>
      </c>
      <c r="G7" s="95">
        <v>23.904109589041099</v>
      </c>
      <c r="H7" s="95">
        <f>SUM(Table1[[#This Row],[Misdemeanor 
Male Inmate     ]:[Felon 
Female Unsentenced]])</f>
        <v>70.991780821917814</v>
      </c>
    </row>
    <row r="8" spans="1:10" x14ac:dyDescent="0.2">
      <c r="A8" t="s">
        <v>911</v>
      </c>
      <c r="B8" s="95">
        <v>64.419178082191777</v>
      </c>
      <c r="C8" s="95">
        <v>57.208219178082189</v>
      </c>
      <c r="D8" s="95">
        <v>0</v>
      </c>
      <c r="E8" s="95">
        <v>0</v>
      </c>
      <c r="F8" s="95">
        <v>0</v>
      </c>
      <c r="G8" s="95">
        <v>0</v>
      </c>
      <c r="H8" s="95">
        <f>SUM(Table1[[#This Row],[Misdemeanor 
Male Inmate     ]:[Felon 
Female Unsentenced]])</f>
        <v>121.62739726027397</v>
      </c>
    </row>
    <row r="9" spans="1:10" x14ac:dyDescent="0.2">
      <c r="A9" t="s">
        <v>912</v>
      </c>
      <c r="B9" s="95">
        <v>0</v>
      </c>
      <c r="C9" s="95">
        <v>2.7397260273972599E-3</v>
      </c>
      <c r="D9" s="95">
        <v>18.334246575342469</v>
      </c>
      <c r="E9" s="95">
        <v>48.490410958904107</v>
      </c>
      <c r="F9" s="95">
        <v>105.50136986301369</v>
      </c>
      <c r="G9" s="95">
        <v>175.04657534246579</v>
      </c>
      <c r="H9" s="95">
        <f>SUM(Table1[[#This Row],[Misdemeanor 
Male Inmate     ]:[Felon 
Female Unsentenced]])</f>
        <v>347.37534246575342</v>
      </c>
    </row>
    <row r="10" spans="1:10" x14ac:dyDescent="0.2">
      <c r="A10" t="s">
        <v>913</v>
      </c>
      <c r="B10" s="95">
        <v>1.463013698630137</v>
      </c>
      <c r="C10" s="95">
        <v>6.5452054794520551</v>
      </c>
      <c r="D10" s="95">
        <v>0.27123287671232882</v>
      </c>
      <c r="E10" s="95">
        <v>2.3123287671232871</v>
      </c>
      <c r="F10" s="95">
        <v>0.52876712328767128</v>
      </c>
      <c r="G10" s="95">
        <v>6.1068493150684926</v>
      </c>
      <c r="H10" s="95">
        <f>SUM(Table1[[#This Row],[Misdemeanor 
Male Inmate     ]:[Felon 
Female Unsentenced]])</f>
        <v>17.227397260273975</v>
      </c>
    </row>
    <row r="11" spans="1:10" x14ac:dyDescent="0.2">
      <c r="A11" t="s">
        <v>914</v>
      </c>
      <c r="B11" s="95">
        <v>7.6931506849315072</v>
      </c>
      <c r="C11" s="95">
        <v>13.547945205479451</v>
      </c>
      <c r="D11" s="95">
        <v>0.58082191780821912</v>
      </c>
      <c r="E11" s="95">
        <v>2.7506849315068491</v>
      </c>
      <c r="F11" s="95">
        <v>1.189041095890411</v>
      </c>
      <c r="G11" s="95">
        <v>3.1479452054794521</v>
      </c>
      <c r="H11" s="95">
        <f>SUM(Table1[[#This Row],[Misdemeanor 
Male Inmate     ]:[Felon 
Female Unsentenced]])</f>
        <v>28.909589041095888</v>
      </c>
    </row>
    <row r="12" spans="1:10" x14ac:dyDescent="0.2">
      <c r="A12" t="s">
        <v>915</v>
      </c>
      <c r="B12" s="95">
        <v>1.0164383561643831</v>
      </c>
      <c r="C12" s="95">
        <v>17.043835616438361</v>
      </c>
      <c r="D12" s="95">
        <v>2.7397260273972599E-3</v>
      </c>
      <c r="E12" s="95">
        <v>0.75890410958904109</v>
      </c>
      <c r="F12" s="95">
        <v>1.0958904109589039E-2</v>
      </c>
      <c r="G12" s="95">
        <v>0.35342465753424662</v>
      </c>
      <c r="H12" s="95">
        <f>SUM(Table1[[#This Row],[Misdemeanor 
Male Inmate     ]:[Felon 
Female Unsentenced]])</f>
        <v>19.186301369863017</v>
      </c>
    </row>
    <row r="13" spans="1:10" x14ac:dyDescent="0.2">
      <c r="A13" t="s">
        <v>916</v>
      </c>
      <c r="B13" s="95">
        <v>29.715068493150689</v>
      </c>
      <c r="C13" s="95">
        <v>5.7534246575342472E-2</v>
      </c>
      <c r="D13" s="95">
        <v>0</v>
      </c>
      <c r="E13" s="95">
        <v>0</v>
      </c>
      <c r="F13" s="95">
        <v>0</v>
      </c>
      <c r="G13" s="95">
        <v>0</v>
      </c>
      <c r="H13" s="95">
        <f>SUM(Table1[[#This Row],[Misdemeanor 
Male Inmate     ]:[Felon 
Female Unsentenced]])</f>
        <v>29.772602739726032</v>
      </c>
    </row>
    <row r="14" spans="1:10" x14ac:dyDescent="0.2">
      <c r="A14" t="s">
        <v>917</v>
      </c>
      <c r="B14" s="95">
        <v>4.1232876712328768</v>
      </c>
      <c r="C14" s="95">
        <v>6.8493150684931503E-2</v>
      </c>
      <c r="D14" s="95">
        <v>0</v>
      </c>
      <c r="E14" s="95">
        <v>0</v>
      </c>
      <c r="F14" s="95">
        <v>0</v>
      </c>
      <c r="G14" s="95">
        <v>0</v>
      </c>
      <c r="H14" s="95">
        <f>SUM(Table1[[#This Row],[Misdemeanor 
Male Inmate     ]:[Felon 
Female Unsentenced]])</f>
        <v>4.1917808219178081</v>
      </c>
    </row>
    <row r="15" spans="1:10" x14ac:dyDescent="0.2">
      <c r="A15" t="s">
        <v>918</v>
      </c>
      <c r="B15" s="95">
        <v>6.9698630136986299</v>
      </c>
      <c r="C15" s="95">
        <v>0.30410958904109592</v>
      </c>
      <c r="D15" s="95">
        <v>0</v>
      </c>
      <c r="E15" s="95">
        <v>0</v>
      </c>
      <c r="F15" s="95">
        <v>0</v>
      </c>
      <c r="G15" s="95">
        <v>0</v>
      </c>
      <c r="H15" s="95">
        <f>SUM(Table1[[#This Row],[Misdemeanor 
Male Inmate     ]:[Felon 
Female Unsentenced]])</f>
        <v>7.2739726027397262</v>
      </c>
    </row>
    <row r="16" spans="1:10" x14ac:dyDescent="0.2">
      <c r="A16" t="s">
        <v>919</v>
      </c>
      <c r="B16" s="95">
        <v>40.479452054794521</v>
      </c>
      <c r="C16" s="95">
        <v>7.515068493150685</v>
      </c>
      <c r="D16" s="95">
        <v>0</v>
      </c>
      <c r="E16" s="95">
        <v>0</v>
      </c>
      <c r="F16" s="95">
        <v>0</v>
      </c>
      <c r="G16" s="95">
        <v>0</v>
      </c>
      <c r="H16" s="95">
        <f>SUM(Table1[[#This Row],[Misdemeanor 
Male Inmate     ]:[Felon 
Female Unsentenced]])</f>
        <v>47.994520547945207</v>
      </c>
      <c r="J16" s="724" t="s">
        <v>410</v>
      </c>
    </row>
    <row r="17" spans="1:10" x14ac:dyDescent="0.2">
      <c r="A17" t="s">
        <v>920</v>
      </c>
      <c r="B17" s="95">
        <v>33.890410958904113</v>
      </c>
      <c r="C17" s="95">
        <v>7.5342465753424657</v>
      </c>
      <c r="D17" s="95">
        <v>0</v>
      </c>
      <c r="E17" s="95">
        <v>0</v>
      </c>
      <c r="F17" s="95">
        <v>0</v>
      </c>
      <c r="G17" s="95">
        <v>0</v>
      </c>
      <c r="H17" s="95">
        <f>SUM(Table1[[#This Row],[Misdemeanor 
Male Inmate     ]:[Felon 
Female Unsentenced]])</f>
        <v>41.424657534246577</v>
      </c>
      <c r="J17" s="724" t="s">
        <v>606</v>
      </c>
    </row>
    <row r="18" spans="1:10" x14ac:dyDescent="0.2">
      <c r="A18" t="s">
        <v>921</v>
      </c>
      <c r="B18" s="95">
        <v>1.912328767123288</v>
      </c>
      <c r="C18" s="95">
        <v>10.756164383561639</v>
      </c>
      <c r="D18" s="95">
        <v>0.65479452054794518</v>
      </c>
      <c r="E18" s="95">
        <v>3.9397260273972599</v>
      </c>
      <c r="F18" s="95">
        <v>3.1972602739726028</v>
      </c>
      <c r="G18" s="95">
        <v>8.8794520547945197</v>
      </c>
      <c r="H18" s="95">
        <f>SUM(Table1[[#This Row],[Misdemeanor 
Male Inmate     ]:[Felon 
Female Unsentenced]])</f>
        <v>29.339726027397255</v>
      </c>
      <c r="J18" s="724" t="s">
        <v>607</v>
      </c>
    </row>
    <row r="19" spans="1:10" x14ac:dyDescent="0.2">
      <c r="A19" t="s">
        <v>824</v>
      </c>
      <c r="B19" s="95">
        <v>5.1342465753424653</v>
      </c>
      <c r="C19" s="95">
        <v>3.868493150684932</v>
      </c>
      <c r="D19" s="95">
        <v>0</v>
      </c>
      <c r="E19" s="95">
        <v>0</v>
      </c>
      <c r="F19" s="95">
        <v>0</v>
      </c>
      <c r="G19" s="95">
        <v>0</v>
      </c>
      <c r="H19" s="95">
        <f>SUM(Table1[[#This Row],[Misdemeanor 
Male Inmate     ]:[Felon 
Female Unsentenced]])</f>
        <v>9.0027397260273965</v>
      </c>
      <c r="J19" s="724" t="s">
        <v>411</v>
      </c>
    </row>
    <row r="20" spans="1:10" x14ac:dyDescent="0.2">
      <c r="A20" t="s">
        <v>922</v>
      </c>
      <c r="B20" s="95">
        <v>7.9753424657534246</v>
      </c>
      <c r="C20" s="95">
        <v>11.04109589041096</v>
      </c>
      <c r="D20" s="95">
        <v>0.23561643835616439</v>
      </c>
      <c r="E20" s="95">
        <v>1.758904109589041</v>
      </c>
      <c r="F20" s="95">
        <v>0.78630136986301369</v>
      </c>
      <c r="G20" s="95">
        <v>3.613698630136986</v>
      </c>
      <c r="H20" s="95">
        <f>SUM(Table1[[#This Row],[Misdemeanor 
Male Inmate     ]:[Felon 
Female Unsentenced]])</f>
        <v>25.410958904109592</v>
      </c>
    </row>
    <row r="21" spans="1:10" s="921" customFormat="1" ht="15" x14ac:dyDescent="0.25">
      <c r="A21" s="919" t="s">
        <v>923</v>
      </c>
      <c r="B21" s="920">
        <f>SUBTOTAL(109,B4:B20)</f>
        <v>234.09863013698632</v>
      </c>
      <c r="C21" s="920">
        <f t="shared" ref="C21:G21" si="0">SUBTOTAL(109,C4:C20)</f>
        <v>312.79726027397265</v>
      </c>
      <c r="D21" s="920">
        <f t="shared" si="0"/>
        <v>21.347945205479455</v>
      </c>
      <c r="E21" s="920">
        <f t="shared" si="0"/>
        <v>70.890410958904098</v>
      </c>
      <c r="F21" s="920">
        <f t="shared" si="0"/>
        <v>112.62739726027397</v>
      </c>
      <c r="G21" s="920">
        <f t="shared" si="0"/>
        <v>226.68767123287677</v>
      </c>
      <c r="H21" s="920">
        <f>SUM(Table1[[#This Row],[Misdemeanor 
Male Inmate     ]:[Felon 
Female Unsentenced]])</f>
        <v>978.44931506849321</v>
      </c>
      <c r="J21" s="920">
        <f>SUM(Table1[[#This Row],[Misdemeanor
 Female Inmate     ]:[Felon 
Female Unsentenced]])</f>
        <v>431.55342465753426</v>
      </c>
    </row>
    <row r="22" spans="1:10" x14ac:dyDescent="0.2">
      <c r="A22" t="s">
        <v>924</v>
      </c>
      <c r="B22" s="95">
        <v>0</v>
      </c>
      <c r="C22" s="95">
        <v>0</v>
      </c>
      <c r="D22" s="95">
        <v>0</v>
      </c>
      <c r="E22" s="95">
        <v>0.49589041095890413</v>
      </c>
      <c r="F22" s="95">
        <v>0</v>
      </c>
      <c r="G22" s="95">
        <v>0</v>
      </c>
      <c r="H22" s="95">
        <f>SUM(Table1[[#This Row],[Misdemeanor 
Male Inmate     ]:[Felon 
Female Unsentenced]])</f>
        <v>0.49589041095890413</v>
      </c>
    </row>
    <row r="23" spans="1:10" x14ac:dyDescent="0.2">
      <c r="A23" t="s">
        <v>925</v>
      </c>
      <c r="B23" s="95">
        <v>27.446575342465749</v>
      </c>
      <c r="C23" s="95">
        <v>15.88219178082192</v>
      </c>
      <c r="D23" s="95">
        <v>0.53972602739726028</v>
      </c>
      <c r="E23" s="95">
        <v>0.45753424657534247</v>
      </c>
      <c r="F23" s="95">
        <v>0.57534246575342463</v>
      </c>
      <c r="G23" s="95">
        <v>0.1287671232876712</v>
      </c>
      <c r="H23" s="95">
        <v>100.0575342465753</v>
      </c>
    </row>
    <row r="24" spans="1:10" x14ac:dyDescent="0.2">
      <c r="A24" t="s">
        <v>926</v>
      </c>
      <c r="B24" s="95">
        <v>2.076712328767123</v>
      </c>
      <c r="C24" s="95">
        <v>0.18356164383561641</v>
      </c>
      <c r="D24" s="95">
        <v>0.26849315068493151</v>
      </c>
      <c r="E24" s="95">
        <v>8.21917808219178E-3</v>
      </c>
      <c r="F24" s="95">
        <v>5.0027397260273974</v>
      </c>
      <c r="G24" s="95">
        <v>5.4794520547945206E-3</v>
      </c>
      <c r="H24" s="95">
        <v>22.62739726027397</v>
      </c>
    </row>
    <row r="25" spans="1:10" x14ac:dyDescent="0.2">
      <c r="A25" t="s">
        <v>927</v>
      </c>
      <c r="B25" s="95">
        <v>0</v>
      </c>
      <c r="C25" s="95">
        <v>0</v>
      </c>
      <c r="D25" s="95">
        <v>4.1479452054794521</v>
      </c>
      <c r="E25" s="95">
        <v>1.205479452054794</v>
      </c>
      <c r="F25" s="95">
        <v>14.5041095890411</v>
      </c>
      <c r="G25" s="95">
        <v>0.55342465753424652</v>
      </c>
      <c r="H25" s="95">
        <v>20.410958904109592</v>
      </c>
    </row>
    <row r="26" spans="1:10" x14ac:dyDescent="0.2">
      <c r="A26" t="s">
        <v>928</v>
      </c>
      <c r="B26" s="95">
        <v>7.3068493150684928</v>
      </c>
      <c r="C26" s="95">
        <v>5.2164383561643826</v>
      </c>
      <c r="D26" s="95">
        <v>2.761643835616439</v>
      </c>
      <c r="E26" s="95">
        <v>1.3561643835616439</v>
      </c>
      <c r="F26" s="95">
        <v>3.2493150684931509</v>
      </c>
      <c r="G26" s="95">
        <v>0.87671232876712324</v>
      </c>
      <c r="H26" s="95">
        <v>47.30958904109589</v>
      </c>
    </row>
    <row r="27" spans="1:10" x14ac:dyDescent="0.2">
      <c r="A27" t="s">
        <v>929</v>
      </c>
      <c r="B27" s="95">
        <v>12.0027397260274</v>
      </c>
      <c r="C27" s="95">
        <v>0</v>
      </c>
      <c r="D27" s="95">
        <v>0</v>
      </c>
      <c r="E27" s="95">
        <v>0</v>
      </c>
      <c r="F27" s="95">
        <v>0</v>
      </c>
      <c r="G27" s="95">
        <v>0</v>
      </c>
      <c r="H27" s="95">
        <v>96.547945205479451</v>
      </c>
    </row>
    <row r="28" spans="1:10" x14ac:dyDescent="0.2">
      <c r="A28" t="s">
        <v>930</v>
      </c>
      <c r="B28" s="95">
        <v>5.353424657534247</v>
      </c>
      <c r="C28" s="95">
        <v>9.0054794520547947</v>
      </c>
      <c r="D28" s="95">
        <v>1.021917808219178</v>
      </c>
      <c r="E28" s="95">
        <v>4.5863013698630137</v>
      </c>
      <c r="F28" s="95">
        <v>0.58082191780821912</v>
      </c>
      <c r="G28" s="95">
        <v>0.58630136986301373</v>
      </c>
      <c r="H28" s="95">
        <v>35.580821917808223</v>
      </c>
    </row>
    <row r="29" spans="1:10" x14ac:dyDescent="0.2">
      <c r="A29" t="s">
        <v>931</v>
      </c>
      <c r="B29" s="95">
        <v>9.4328767123287669</v>
      </c>
      <c r="C29" s="95">
        <v>1.3095890410958899</v>
      </c>
      <c r="D29" s="95">
        <v>0.48219178082191783</v>
      </c>
      <c r="E29" s="95">
        <v>6.3013698630136991E-2</v>
      </c>
      <c r="F29" s="95">
        <v>1.0493150684931509</v>
      </c>
      <c r="G29" s="95">
        <v>8.21917808219178E-3</v>
      </c>
      <c r="H29" s="95">
        <v>29.06301369863014</v>
      </c>
    </row>
    <row r="30" spans="1:10" s="921" customFormat="1" ht="15" x14ac:dyDescent="0.25">
      <c r="A30" s="919" t="s">
        <v>932</v>
      </c>
      <c r="B30" s="920">
        <f>SUBTOTAL(109,B22:B29)</f>
        <v>63.61917808219178</v>
      </c>
      <c r="C30" s="920">
        <f t="shared" ref="C30:G30" si="1">SUBTOTAL(109,C22:C29)</f>
        <v>31.597260273972601</v>
      </c>
      <c r="D30" s="920">
        <f t="shared" si="1"/>
        <v>9.2219178082191782</v>
      </c>
      <c r="E30" s="920">
        <f t="shared" si="1"/>
        <v>8.1726027397260275</v>
      </c>
      <c r="F30" s="920">
        <f t="shared" si="1"/>
        <v>24.961643835616442</v>
      </c>
      <c r="G30" s="920">
        <f t="shared" si="1"/>
        <v>2.1589041095890411</v>
      </c>
      <c r="H30" s="920">
        <f>SUM(Table1[[#This Row],[Misdemeanor 
Male Inmate     ]:[Felon 
Female Unsentenced]])</f>
        <v>139.73150684931508</v>
      </c>
    </row>
    <row r="31" spans="1:10" x14ac:dyDescent="0.2">
      <c r="A31" t="s">
        <v>933</v>
      </c>
      <c r="B31" s="95">
        <v>1.0027397260273969</v>
      </c>
      <c r="C31" s="95">
        <v>0</v>
      </c>
      <c r="D31" s="95">
        <v>1.0027397260273969</v>
      </c>
      <c r="E31" s="95">
        <v>0</v>
      </c>
      <c r="F31" s="95">
        <v>0</v>
      </c>
      <c r="G31" s="95">
        <v>0</v>
      </c>
      <c r="H31" s="95">
        <v>2.0054794520547952</v>
      </c>
    </row>
    <row r="32" spans="1:10" x14ac:dyDescent="0.2">
      <c r="A32" t="s">
        <v>934</v>
      </c>
      <c r="B32" s="95">
        <v>0</v>
      </c>
      <c r="C32" s="95">
        <v>1.23013698630137</v>
      </c>
      <c r="D32" s="95">
        <v>0</v>
      </c>
      <c r="E32" s="95">
        <v>0</v>
      </c>
      <c r="F32" s="95">
        <v>0</v>
      </c>
      <c r="G32" s="95">
        <v>0</v>
      </c>
      <c r="H32" s="95">
        <v>5.2410958904109588</v>
      </c>
    </row>
    <row r="33" spans="1:8" x14ac:dyDescent="0.2">
      <c r="A33" t="s">
        <v>821</v>
      </c>
      <c r="B33" s="95">
        <v>0</v>
      </c>
      <c r="C33" s="95">
        <v>0</v>
      </c>
      <c r="D33" s="95">
        <v>0</v>
      </c>
      <c r="E33" s="95">
        <v>0</v>
      </c>
      <c r="F33" s="95">
        <v>0</v>
      </c>
      <c r="G33" s="95">
        <v>0</v>
      </c>
      <c r="H33" s="95">
        <v>0.95616438356164379</v>
      </c>
    </row>
    <row r="34" spans="1:8" x14ac:dyDescent="0.2">
      <c r="A34" t="s">
        <v>822</v>
      </c>
      <c r="B34" s="95">
        <v>0</v>
      </c>
      <c r="C34" s="95">
        <v>0.26027397260273971</v>
      </c>
      <c r="D34" s="95">
        <v>0</v>
      </c>
      <c r="E34" s="95">
        <v>4.1095890410958902E-2</v>
      </c>
      <c r="F34" s="95">
        <v>0</v>
      </c>
      <c r="G34" s="95">
        <v>0</v>
      </c>
      <c r="H34" s="95">
        <v>1.761643835616439</v>
      </c>
    </row>
    <row r="35" spans="1:8" s="921" customFormat="1" ht="15" x14ac:dyDescent="0.25">
      <c r="A35" s="919" t="s">
        <v>935</v>
      </c>
      <c r="B35" s="920">
        <f>SUBTOTAL(109,B31:B34)</f>
        <v>1.0027397260273969</v>
      </c>
      <c r="C35" s="920">
        <f t="shared" ref="C35:G35" si="2">SUBTOTAL(109,C31:C34)</f>
        <v>1.4904109589041097</v>
      </c>
      <c r="D35" s="920">
        <f t="shared" si="2"/>
        <v>1.0027397260273969</v>
      </c>
      <c r="E35" s="920">
        <f t="shared" si="2"/>
        <v>4.1095890410958902E-2</v>
      </c>
      <c r="F35" s="920">
        <f t="shared" si="2"/>
        <v>0</v>
      </c>
      <c r="G35" s="920">
        <f t="shared" si="2"/>
        <v>0</v>
      </c>
      <c r="H35" s="920">
        <f>SUM(Table1[[#This Row],[Misdemeanor 
Male Inmate     ]:[Felon 
Female Unsentenced]])</f>
        <v>3.5369863013698626</v>
      </c>
    </row>
    <row r="36" spans="1:8" x14ac:dyDescent="0.2">
      <c r="A36" t="s">
        <v>936</v>
      </c>
      <c r="B36" s="95">
        <v>20.334246575342469</v>
      </c>
      <c r="C36" s="95">
        <v>0</v>
      </c>
      <c r="D36" s="95">
        <v>6.6630136986301371</v>
      </c>
      <c r="E36" s="95">
        <v>1.0958904109589039E-2</v>
      </c>
      <c r="F36" s="95">
        <v>17.30684931506849</v>
      </c>
      <c r="G36" s="95">
        <v>0</v>
      </c>
      <c r="H36" s="95">
        <v>124.7397260273973</v>
      </c>
    </row>
    <row r="37" spans="1:8" x14ac:dyDescent="0.2">
      <c r="A37" t="s">
        <v>937</v>
      </c>
      <c r="B37" s="95">
        <v>1.3698630136986301E-2</v>
      </c>
      <c r="C37" s="95">
        <v>0</v>
      </c>
      <c r="D37" s="95">
        <v>0</v>
      </c>
      <c r="E37" s="95">
        <v>0</v>
      </c>
      <c r="F37" s="95">
        <v>0</v>
      </c>
      <c r="G37" s="95">
        <v>0</v>
      </c>
      <c r="H37" s="95">
        <v>1.3698630136986301E-2</v>
      </c>
    </row>
    <row r="38" spans="1:8" x14ac:dyDescent="0.2">
      <c r="A38" t="s">
        <v>938</v>
      </c>
      <c r="B38" s="95">
        <v>6.8493150684931503E-2</v>
      </c>
      <c r="C38" s="95">
        <v>1.9178082191780819E-2</v>
      </c>
      <c r="D38" s="95">
        <v>7.6712328767123292E-2</v>
      </c>
      <c r="E38" s="95">
        <v>0</v>
      </c>
      <c r="F38" s="95">
        <v>0</v>
      </c>
      <c r="G38" s="95">
        <v>0</v>
      </c>
      <c r="H38" s="95">
        <v>0.16712328767123291</v>
      </c>
    </row>
    <row r="39" spans="1:8" x14ac:dyDescent="0.2">
      <c r="A39" t="s">
        <v>939</v>
      </c>
      <c r="B39" s="95">
        <v>1.194520547945205</v>
      </c>
      <c r="C39" s="95">
        <v>8.21917808219178E-3</v>
      </c>
      <c r="D39" s="95">
        <v>0.60273972602739723</v>
      </c>
      <c r="E39" s="95">
        <v>0</v>
      </c>
      <c r="F39" s="95">
        <v>0</v>
      </c>
      <c r="G39" s="95">
        <v>0</v>
      </c>
      <c r="H39" s="95">
        <v>1.805479452054795</v>
      </c>
    </row>
    <row r="40" spans="1:8" x14ac:dyDescent="0.2">
      <c r="A40" t="s">
        <v>940</v>
      </c>
      <c r="B40" s="95">
        <v>3.287671232876712E-2</v>
      </c>
      <c r="C40" s="95">
        <v>0</v>
      </c>
      <c r="D40" s="95">
        <v>0</v>
      </c>
      <c r="E40" s="95">
        <v>0</v>
      </c>
      <c r="F40" s="95">
        <v>0</v>
      </c>
      <c r="G40" s="95">
        <v>0</v>
      </c>
      <c r="H40" s="95">
        <v>3.287671232876712E-2</v>
      </c>
    </row>
    <row r="41" spans="1:8" x14ac:dyDescent="0.2">
      <c r="A41" t="s">
        <v>941</v>
      </c>
      <c r="B41" s="95">
        <v>1.3698630136986301E-2</v>
      </c>
      <c r="C41" s="95">
        <v>0</v>
      </c>
      <c r="D41" s="95">
        <v>5.4794520547945206E-3</v>
      </c>
      <c r="E41" s="95">
        <v>0</v>
      </c>
      <c r="F41" s="95">
        <v>0</v>
      </c>
      <c r="G41" s="95">
        <v>0</v>
      </c>
      <c r="H41" s="95">
        <v>1.9178082191780819E-2</v>
      </c>
    </row>
    <row r="42" spans="1:8" x14ac:dyDescent="0.2">
      <c r="A42" t="s">
        <v>942</v>
      </c>
      <c r="B42" s="95">
        <v>0.37534246575342473</v>
      </c>
      <c r="C42" s="95">
        <v>0</v>
      </c>
      <c r="D42" s="95">
        <v>0.20821917808219181</v>
      </c>
      <c r="E42" s="95">
        <v>0</v>
      </c>
      <c r="F42" s="95">
        <v>0</v>
      </c>
      <c r="G42" s="95">
        <v>0</v>
      </c>
      <c r="H42" s="95">
        <v>0.58630136986301373</v>
      </c>
    </row>
    <row r="43" spans="1:8" x14ac:dyDescent="0.2">
      <c r="A43" t="s">
        <v>943</v>
      </c>
      <c r="B43" s="95">
        <v>0.41369863013698632</v>
      </c>
      <c r="C43" s="95">
        <v>0</v>
      </c>
      <c r="D43" s="95">
        <v>1.643835616438356E-2</v>
      </c>
      <c r="E43" s="95">
        <v>0</v>
      </c>
      <c r="F43" s="95">
        <v>0</v>
      </c>
      <c r="G43" s="95">
        <v>0</v>
      </c>
      <c r="H43" s="95">
        <v>0.43013698630136987</v>
      </c>
    </row>
    <row r="44" spans="1:8" x14ac:dyDescent="0.2">
      <c r="A44" t="s">
        <v>944</v>
      </c>
      <c r="B44" s="95">
        <v>0.23835616438356161</v>
      </c>
      <c r="C44" s="95">
        <v>0</v>
      </c>
      <c r="D44" s="95">
        <v>0.18356164383561641</v>
      </c>
      <c r="E44" s="95">
        <v>0</v>
      </c>
      <c r="F44" s="95">
        <v>0</v>
      </c>
      <c r="G44" s="95">
        <v>0</v>
      </c>
      <c r="H44" s="95">
        <v>0.42191780821917813</v>
      </c>
    </row>
    <row r="45" spans="1:8" x14ac:dyDescent="0.2">
      <c r="A45" t="s">
        <v>945</v>
      </c>
      <c r="B45" s="95">
        <v>9.3150684931506855E-2</v>
      </c>
      <c r="C45" s="95">
        <v>0</v>
      </c>
      <c r="D45" s="95">
        <v>3.287671232876712E-2</v>
      </c>
      <c r="E45" s="95">
        <v>5.4794520547945206E-3</v>
      </c>
      <c r="F45" s="95">
        <v>0</v>
      </c>
      <c r="G45" s="95">
        <v>0</v>
      </c>
      <c r="H45" s="95">
        <v>0.13150684931506851</v>
      </c>
    </row>
    <row r="46" spans="1:8" x14ac:dyDescent="0.2">
      <c r="A46" t="s">
        <v>946</v>
      </c>
      <c r="B46" s="95">
        <v>0</v>
      </c>
      <c r="C46" s="95">
        <v>0</v>
      </c>
      <c r="D46" s="95">
        <v>0</v>
      </c>
      <c r="E46" s="95">
        <v>0</v>
      </c>
      <c r="F46" s="95">
        <v>0.66849315068493154</v>
      </c>
      <c r="G46" s="95">
        <v>0</v>
      </c>
      <c r="H46" s="95">
        <v>0.66849315068493154</v>
      </c>
    </row>
    <row r="47" spans="1:8" x14ac:dyDescent="0.2">
      <c r="A47" t="s">
        <v>947</v>
      </c>
      <c r="B47" s="95">
        <v>0.17808219178082191</v>
      </c>
      <c r="C47" s="95">
        <v>0</v>
      </c>
      <c r="D47" s="95">
        <v>0</v>
      </c>
      <c r="E47" s="95">
        <v>0</v>
      </c>
      <c r="F47" s="95">
        <v>0</v>
      </c>
      <c r="G47" s="95">
        <v>0</v>
      </c>
      <c r="H47" s="95">
        <v>1.9479452054794519</v>
      </c>
    </row>
    <row r="48" spans="1:8" x14ac:dyDescent="0.2">
      <c r="A48" t="s">
        <v>823</v>
      </c>
      <c r="B48" s="95">
        <v>0</v>
      </c>
      <c r="C48" s="95">
        <v>0</v>
      </c>
      <c r="D48" s="95">
        <v>0.27945205479452062</v>
      </c>
      <c r="E48" s="95">
        <v>0</v>
      </c>
      <c r="F48" s="95">
        <v>1.6547945205479451</v>
      </c>
      <c r="G48" s="95">
        <v>0</v>
      </c>
      <c r="H48" s="95">
        <v>1.934246575342466</v>
      </c>
    </row>
    <row r="49" spans="1:8" x14ac:dyDescent="0.2">
      <c r="A49" t="s">
        <v>948</v>
      </c>
      <c r="B49" s="95">
        <v>0</v>
      </c>
      <c r="C49" s="95">
        <v>0</v>
      </c>
      <c r="D49" s="95">
        <v>0</v>
      </c>
      <c r="E49" s="95">
        <v>0</v>
      </c>
      <c r="F49" s="95">
        <v>0.33698630136986302</v>
      </c>
      <c r="G49" s="95">
        <v>0</v>
      </c>
      <c r="H49" s="95">
        <v>0.33698630136986302</v>
      </c>
    </row>
    <row r="50" spans="1:8" x14ac:dyDescent="0.2">
      <c r="A50" t="s">
        <v>949</v>
      </c>
      <c r="B50" s="95">
        <v>1.2383561643835621</v>
      </c>
      <c r="C50" s="95">
        <v>0</v>
      </c>
      <c r="D50" s="95">
        <v>0.40273972602739733</v>
      </c>
      <c r="E50" s="95">
        <v>0</v>
      </c>
      <c r="F50" s="95">
        <v>0.32054794520547952</v>
      </c>
      <c r="G50" s="95">
        <v>0</v>
      </c>
      <c r="H50" s="95">
        <v>5.4821917808219176</v>
      </c>
    </row>
    <row r="51" spans="1:8" x14ac:dyDescent="0.2">
      <c r="A51" t="s">
        <v>950</v>
      </c>
      <c r="B51" s="95">
        <v>1.101369863013699</v>
      </c>
      <c r="C51" s="95">
        <v>0</v>
      </c>
      <c r="D51" s="95">
        <v>0</v>
      </c>
      <c r="E51" s="95">
        <v>0</v>
      </c>
      <c r="F51" s="95">
        <v>0</v>
      </c>
      <c r="G51" s="95">
        <v>0</v>
      </c>
      <c r="H51" s="95">
        <v>7.0931506849315067</v>
      </c>
    </row>
    <row r="52" spans="1:8" x14ac:dyDescent="0.2">
      <c r="A52" t="s">
        <v>951</v>
      </c>
      <c r="B52" s="95">
        <v>7.2328767123287667</v>
      </c>
      <c r="C52" s="95">
        <v>0</v>
      </c>
      <c r="D52" s="95">
        <v>1.0520547945205481</v>
      </c>
      <c r="E52" s="95">
        <v>0</v>
      </c>
      <c r="F52" s="95">
        <v>3.2109589041095892</v>
      </c>
      <c r="G52" s="95">
        <v>0</v>
      </c>
      <c r="H52" s="95">
        <v>26.482191780821921</v>
      </c>
    </row>
    <row r="53" spans="1:8" x14ac:dyDescent="0.2">
      <c r="A53" t="s">
        <v>952</v>
      </c>
      <c r="B53" s="95">
        <v>1.252054794520548</v>
      </c>
      <c r="C53" s="95">
        <v>0</v>
      </c>
      <c r="D53" s="95">
        <v>0.67945205479452053</v>
      </c>
      <c r="E53" s="95">
        <v>0</v>
      </c>
      <c r="F53" s="95">
        <v>0.61643835616438358</v>
      </c>
      <c r="G53" s="95">
        <v>0</v>
      </c>
      <c r="H53" s="95">
        <v>7.3424657534246576</v>
      </c>
    </row>
    <row r="54" spans="1:8" x14ac:dyDescent="0.2">
      <c r="A54" t="s">
        <v>953</v>
      </c>
      <c r="B54" s="95">
        <v>1.638356164383562</v>
      </c>
      <c r="C54" s="95">
        <v>0</v>
      </c>
      <c r="D54" s="95">
        <v>0.59452054794520548</v>
      </c>
      <c r="E54" s="95">
        <v>8.21917808219178E-3</v>
      </c>
      <c r="F54" s="95">
        <v>1.1369863013698629</v>
      </c>
      <c r="G54" s="95">
        <v>0</v>
      </c>
      <c r="H54" s="95">
        <v>12.68767123287671</v>
      </c>
    </row>
    <row r="55" spans="1:8" x14ac:dyDescent="0.2">
      <c r="A55" t="s">
        <v>954</v>
      </c>
      <c r="B55" s="95">
        <v>0.33972602739726032</v>
      </c>
      <c r="C55" s="95">
        <v>0</v>
      </c>
      <c r="D55" s="95">
        <v>0.12328767123287671</v>
      </c>
      <c r="E55" s="95">
        <v>0</v>
      </c>
      <c r="F55" s="95">
        <v>0</v>
      </c>
      <c r="G55" s="95">
        <v>0</v>
      </c>
      <c r="H55" s="95">
        <v>1.6547945205479451</v>
      </c>
    </row>
    <row r="56" spans="1:8" x14ac:dyDescent="0.2">
      <c r="A56" t="s">
        <v>955</v>
      </c>
      <c r="B56" s="95">
        <v>3.0136986301369861E-2</v>
      </c>
      <c r="C56" s="95">
        <v>0</v>
      </c>
      <c r="D56" s="95">
        <v>8.21917808219178E-3</v>
      </c>
      <c r="E56" s="95">
        <v>0</v>
      </c>
      <c r="F56" s="95">
        <v>0</v>
      </c>
      <c r="G56" s="95">
        <v>0</v>
      </c>
      <c r="H56" s="95">
        <v>3.8356164383561653E-2</v>
      </c>
    </row>
    <row r="57" spans="1:8" x14ac:dyDescent="0.2">
      <c r="A57" t="s">
        <v>956</v>
      </c>
      <c r="B57" s="95">
        <v>9.1999999999999993</v>
      </c>
      <c r="C57" s="95">
        <v>0</v>
      </c>
      <c r="D57" s="95">
        <v>1.8630136986301371</v>
      </c>
      <c r="E57" s="95">
        <v>0</v>
      </c>
      <c r="F57" s="95">
        <v>8.9342465753424651</v>
      </c>
      <c r="G57" s="95">
        <v>0</v>
      </c>
      <c r="H57" s="95">
        <v>49.219178082191782</v>
      </c>
    </row>
    <row r="58" spans="1:8" s="921" customFormat="1" ht="15" x14ac:dyDescent="0.25">
      <c r="A58" s="919" t="s">
        <v>957</v>
      </c>
      <c r="B58" s="920">
        <f>SUBTOTAL(109,B37:B57)</f>
        <v>24.654794520547945</v>
      </c>
      <c r="C58" s="920">
        <f t="shared" ref="C58:G58" si="3">SUBTOTAL(109,C37:C57)</f>
        <v>2.7397260273972601E-2</v>
      </c>
      <c r="D58" s="920">
        <f t="shared" si="3"/>
        <v>6.1287671232876724</v>
      </c>
      <c r="E58" s="920">
        <f t="shared" si="3"/>
        <v>1.3698630136986301E-2</v>
      </c>
      <c r="F58" s="920">
        <f t="shared" si="3"/>
        <v>16.87945205479452</v>
      </c>
      <c r="G58" s="920">
        <f t="shared" si="3"/>
        <v>0</v>
      </c>
      <c r="H58" s="920">
        <f>SUM(Table1[[#This Row],[Misdemeanor 
Male Inmate     ]:[Felon 
Female Unsentenced]])</f>
        <v>47.704109589041096</v>
      </c>
    </row>
    <row r="61" spans="1:8" x14ac:dyDescent="0.2">
      <c r="A61" s="430" t="s">
        <v>899</v>
      </c>
    </row>
  </sheetData>
  <mergeCells count="1">
    <mergeCell ref="A1:H1"/>
  </mergeCells>
  <phoneticPr fontId="22" type="noConversion"/>
  <printOptions horizontalCentered="1"/>
  <pageMargins left="0" right="0" top="1.5" bottom="0.75" header="0.33" footer="0.5"/>
  <pageSetup scale="80" orientation="portrait" r:id="rId1"/>
  <headerFooter alignWithMargins="0">
    <oddHeader>&amp;C&amp;"Arial,Bold"&amp;12DEPARTMENT OF CORRECTIONS
 2025 COST OF CARE 
(Based on FY2024 Actuals)</oddHeader>
    <oddFooter xml:space="preserve">&amp;L&amp;8&amp;F &amp;A&amp;R&amp;8&amp;D </oddFooter>
  </headerFooter>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7" tint="0.59999389629810485"/>
    <pageSetUpPr fitToPage="1"/>
  </sheetPr>
  <dimension ref="A1:S397"/>
  <sheetViews>
    <sheetView topLeftCell="A359" workbookViewId="0">
      <selection activeCell="A364" sqref="A364"/>
    </sheetView>
  </sheetViews>
  <sheetFormatPr defaultRowHeight="12.75" x14ac:dyDescent="0.2"/>
  <cols>
    <col min="1" max="1" width="13.5703125" customWidth="1"/>
    <col min="2" max="3" width="6.85546875" customWidth="1"/>
    <col min="4" max="4" width="8.5703125" customWidth="1"/>
    <col min="5" max="5" width="7.85546875" customWidth="1"/>
    <col min="6" max="6" width="8.140625" customWidth="1"/>
    <col min="7" max="7" width="7.7109375" customWidth="1"/>
    <col min="8" max="8" width="8.85546875" customWidth="1"/>
    <col min="10" max="11" width="8.28515625" customWidth="1"/>
    <col min="13" max="13" width="8.7109375" customWidth="1"/>
    <col min="14" max="14" width="7.85546875" customWidth="1"/>
    <col min="16" max="16" width="9.28515625" customWidth="1"/>
    <col min="17" max="17" width="9.7109375" customWidth="1"/>
    <col min="18" max="18" width="9.42578125" customWidth="1"/>
  </cols>
  <sheetData>
    <row r="1" spans="1:17" x14ac:dyDescent="0.2">
      <c r="A1" s="381"/>
      <c r="B1" s="381"/>
      <c r="C1" s="381"/>
      <c r="D1" s="381"/>
      <c r="E1" s="381"/>
      <c r="F1" s="381"/>
      <c r="G1" s="381"/>
      <c r="H1" s="381"/>
      <c r="I1" s="381"/>
      <c r="J1" s="381"/>
      <c r="K1" s="381"/>
      <c r="L1" s="381"/>
      <c r="M1" s="381"/>
      <c r="N1" s="381"/>
      <c r="O1" s="381"/>
      <c r="P1" s="381"/>
      <c r="Q1" s="381"/>
    </row>
    <row r="2" spans="1:17" ht="38.25" x14ac:dyDescent="0.2">
      <c r="B2" s="98" t="s">
        <v>304</v>
      </c>
      <c r="C2" s="100" t="s">
        <v>305</v>
      </c>
      <c r="D2" s="100" t="s">
        <v>306</v>
      </c>
      <c r="E2" s="100" t="s">
        <v>307</v>
      </c>
      <c r="F2" s="100" t="s">
        <v>308</v>
      </c>
      <c r="G2" s="100" t="s">
        <v>309</v>
      </c>
      <c r="H2" s="100" t="s">
        <v>310</v>
      </c>
      <c r="I2" s="100" t="s">
        <v>311</v>
      </c>
      <c r="J2" s="100" t="s">
        <v>312</v>
      </c>
      <c r="K2" s="100" t="s">
        <v>313</v>
      </c>
      <c r="L2" s="100" t="s">
        <v>314</v>
      </c>
      <c r="M2" s="100" t="s">
        <v>315</v>
      </c>
      <c r="N2" s="100" t="s">
        <v>316</v>
      </c>
      <c r="O2" s="96" t="s">
        <v>317</v>
      </c>
      <c r="P2" s="382" t="s">
        <v>318</v>
      </c>
      <c r="Q2" s="382" t="s">
        <v>319</v>
      </c>
    </row>
    <row r="3" spans="1:17" ht="38.25" x14ac:dyDescent="0.2">
      <c r="A3" s="97" t="s">
        <v>303</v>
      </c>
      <c r="B3" t="s">
        <v>320</v>
      </c>
      <c r="C3">
        <v>1998</v>
      </c>
      <c r="D3">
        <v>2016</v>
      </c>
      <c r="E3">
        <v>1984</v>
      </c>
      <c r="F3">
        <v>2010</v>
      </c>
      <c r="G3">
        <v>2067</v>
      </c>
      <c r="H3">
        <v>2078</v>
      </c>
      <c r="I3">
        <v>2078</v>
      </c>
      <c r="J3">
        <v>2085</v>
      </c>
      <c r="K3">
        <v>2134</v>
      </c>
      <c r="L3">
        <v>2136</v>
      </c>
      <c r="M3">
        <v>2135</v>
      </c>
      <c r="N3">
        <v>2143</v>
      </c>
      <c r="O3">
        <f>SUM(C3:N3)/12</f>
        <v>2072</v>
      </c>
    </row>
    <row r="4" spans="1:17" x14ac:dyDescent="0.2">
      <c r="B4" t="s">
        <v>321</v>
      </c>
      <c r="C4">
        <v>2155</v>
      </c>
      <c r="D4">
        <v>2157</v>
      </c>
      <c r="E4">
        <v>2172</v>
      </c>
      <c r="F4">
        <v>2180</v>
      </c>
      <c r="G4">
        <v>2183</v>
      </c>
      <c r="H4">
        <v>2205</v>
      </c>
      <c r="I4">
        <v>2192</v>
      </c>
      <c r="J4">
        <v>2191</v>
      </c>
      <c r="K4">
        <v>2183</v>
      </c>
      <c r="L4">
        <v>2183</v>
      </c>
      <c r="M4">
        <v>2191</v>
      </c>
      <c r="N4">
        <v>2189</v>
      </c>
      <c r="O4" s="95">
        <f t="shared" ref="O4:O11" si="0">SUM(C4:N4)/12</f>
        <v>2181.75</v>
      </c>
      <c r="P4" s="95">
        <f t="shared" ref="P4:P18" si="1">SUM(O4-O3)</f>
        <v>109.75</v>
      </c>
      <c r="Q4" s="99">
        <f>SUM(P4/O3)</f>
        <v>5.2968146718146716E-2</v>
      </c>
    </row>
    <row r="5" spans="1:17" x14ac:dyDescent="0.2">
      <c r="B5" t="s">
        <v>322</v>
      </c>
      <c r="C5">
        <v>2201</v>
      </c>
      <c r="D5">
        <v>2233</v>
      </c>
      <c r="E5">
        <v>2235</v>
      </c>
      <c r="F5">
        <v>2252</v>
      </c>
      <c r="G5">
        <v>2259</v>
      </c>
      <c r="H5">
        <v>2271</v>
      </c>
      <c r="I5">
        <v>2271</v>
      </c>
      <c r="J5">
        <v>2307</v>
      </c>
      <c r="K5">
        <v>2319</v>
      </c>
      <c r="L5">
        <v>2331</v>
      </c>
      <c r="M5">
        <v>2343</v>
      </c>
      <c r="N5">
        <v>2355</v>
      </c>
      <c r="O5" s="95">
        <f t="shared" si="0"/>
        <v>2281.4166666666665</v>
      </c>
      <c r="P5" s="95">
        <f t="shared" si="1"/>
        <v>99.666666666666515</v>
      </c>
      <c r="Q5" s="99">
        <f t="shared" ref="Q5:Q22" si="2">SUM(P5/O4)</f>
        <v>4.5681983117527906E-2</v>
      </c>
    </row>
    <row r="6" spans="1:17" x14ac:dyDescent="0.2">
      <c r="B6" t="s">
        <v>226</v>
      </c>
      <c r="C6">
        <v>2324</v>
      </c>
      <c r="D6">
        <v>2433</v>
      </c>
      <c r="E6">
        <v>2266</v>
      </c>
      <c r="F6">
        <v>2266</v>
      </c>
      <c r="G6">
        <v>2306</v>
      </c>
      <c r="H6">
        <v>2306</v>
      </c>
      <c r="I6">
        <v>2306</v>
      </c>
      <c r="J6">
        <v>2334</v>
      </c>
      <c r="K6">
        <v>2230</v>
      </c>
      <c r="L6">
        <v>2230</v>
      </c>
      <c r="M6">
        <v>2230</v>
      </c>
      <c r="N6">
        <v>2230</v>
      </c>
      <c r="O6" s="95">
        <f t="shared" si="0"/>
        <v>2288.4166666666665</v>
      </c>
      <c r="P6" s="95">
        <f t="shared" si="1"/>
        <v>7</v>
      </c>
      <c r="Q6" s="99">
        <f t="shared" si="2"/>
        <v>3.0682689849143444E-3</v>
      </c>
    </row>
    <row r="7" spans="1:17" x14ac:dyDescent="0.2">
      <c r="B7" t="s">
        <v>225</v>
      </c>
      <c r="C7">
        <v>2408</v>
      </c>
      <c r="D7">
        <v>2335</v>
      </c>
      <c r="E7">
        <v>2353</v>
      </c>
      <c r="F7">
        <v>2353</v>
      </c>
      <c r="G7">
        <v>2311</v>
      </c>
      <c r="H7">
        <v>2367</v>
      </c>
      <c r="I7">
        <v>2367</v>
      </c>
      <c r="J7">
        <v>2352</v>
      </c>
      <c r="K7">
        <v>2336</v>
      </c>
      <c r="L7">
        <v>2336</v>
      </c>
      <c r="M7">
        <v>2292</v>
      </c>
      <c r="N7">
        <v>2318</v>
      </c>
      <c r="O7" s="95">
        <f t="shared" si="0"/>
        <v>2344</v>
      </c>
      <c r="P7" s="95">
        <f t="shared" si="1"/>
        <v>55.583333333333485</v>
      </c>
      <c r="Q7" s="99">
        <f t="shared" si="2"/>
        <v>2.4288991660900983E-2</v>
      </c>
    </row>
    <row r="8" spans="1:17" x14ac:dyDescent="0.2">
      <c r="B8" t="s">
        <v>230</v>
      </c>
      <c r="C8">
        <v>2312</v>
      </c>
      <c r="D8">
        <v>2305</v>
      </c>
      <c r="E8">
        <v>2318</v>
      </c>
      <c r="F8">
        <v>2318</v>
      </c>
      <c r="G8">
        <v>2350</v>
      </c>
      <c r="H8">
        <v>2314</v>
      </c>
      <c r="I8">
        <v>2314</v>
      </c>
      <c r="J8">
        <v>2426</v>
      </c>
      <c r="K8">
        <v>2400</v>
      </c>
      <c r="L8">
        <v>2454</v>
      </c>
      <c r="M8">
        <v>2536</v>
      </c>
      <c r="N8">
        <v>2334</v>
      </c>
      <c r="O8" s="95">
        <f t="shared" si="0"/>
        <v>2365.0833333333335</v>
      </c>
      <c r="P8" s="95">
        <f t="shared" si="1"/>
        <v>21.083333333333485</v>
      </c>
      <c r="Q8" s="99">
        <f t="shared" si="2"/>
        <v>8.9945961319682095E-3</v>
      </c>
    </row>
    <row r="9" spans="1:17" x14ac:dyDescent="0.2">
      <c r="B9" t="s">
        <v>234</v>
      </c>
      <c r="C9">
        <v>2357</v>
      </c>
      <c r="D9">
        <v>2384</v>
      </c>
      <c r="E9">
        <v>2387</v>
      </c>
      <c r="F9">
        <v>2410</v>
      </c>
      <c r="G9">
        <v>2414</v>
      </c>
      <c r="H9">
        <v>2444</v>
      </c>
      <c r="I9">
        <v>2444</v>
      </c>
      <c r="J9">
        <v>2433</v>
      </c>
      <c r="K9">
        <v>2417</v>
      </c>
      <c r="L9">
        <v>2424</v>
      </c>
      <c r="M9">
        <v>2443</v>
      </c>
      <c r="N9">
        <v>2445</v>
      </c>
      <c r="O9" s="95">
        <f t="shared" si="0"/>
        <v>2416.8333333333335</v>
      </c>
      <c r="P9" s="95">
        <f t="shared" si="1"/>
        <v>51.75</v>
      </c>
      <c r="Q9" s="99">
        <f t="shared" si="2"/>
        <v>2.1880835770409779E-2</v>
      </c>
    </row>
    <row r="10" spans="1:17" x14ac:dyDescent="0.2">
      <c r="B10" t="s">
        <v>235</v>
      </c>
      <c r="C10">
        <v>2453</v>
      </c>
      <c r="D10">
        <v>2437</v>
      </c>
      <c r="E10">
        <v>2420</v>
      </c>
      <c r="F10">
        <v>2487</v>
      </c>
      <c r="G10">
        <v>2437</v>
      </c>
      <c r="H10">
        <v>2479</v>
      </c>
      <c r="I10">
        <v>2466</v>
      </c>
      <c r="J10">
        <v>2488</v>
      </c>
      <c r="K10">
        <v>2477</v>
      </c>
      <c r="L10">
        <v>2562</v>
      </c>
      <c r="M10">
        <v>2557</v>
      </c>
      <c r="N10">
        <v>2455</v>
      </c>
      <c r="O10" s="95">
        <f t="shared" si="0"/>
        <v>2476.5</v>
      </c>
      <c r="P10" s="95">
        <f t="shared" si="1"/>
        <v>59.666666666666515</v>
      </c>
      <c r="Q10" s="99">
        <f t="shared" si="2"/>
        <v>2.4687952554996142E-2</v>
      </c>
    </row>
    <row r="11" spans="1:17" x14ac:dyDescent="0.2">
      <c r="B11" t="s">
        <v>236</v>
      </c>
      <c r="C11">
        <v>2495</v>
      </c>
      <c r="D11">
        <v>2542</v>
      </c>
      <c r="E11">
        <v>2644</v>
      </c>
      <c r="F11">
        <v>2580</v>
      </c>
      <c r="G11">
        <v>2273</v>
      </c>
      <c r="H11">
        <v>2302</v>
      </c>
      <c r="I11">
        <v>2395</v>
      </c>
      <c r="J11">
        <v>2404</v>
      </c>
      <c r="K11">
        <v>2394</v>
      </c>
      <c r="L11">
        <v>2426</v>
      </c>
      <c r="M11">
        <v>2689</v>
      </c>
      <c r="N11">
        <v>2739</v>
      </c>
      <c r="O11" s="95">
        <f t="shared" si="0"/>
        <v>2490.25</v>
      </c>
      <c r="P11" s="95">
        <f t="shared" si="1"/>
        <v>13.75</v>
      </c>
      <c r="Q11" s="99">
        <f t="shared" si="2"/>
        <v>5.5521905915606705E-3</v>
      </c>
    </row>
    <row r="12" spans="1:17" x14ac:dyDescent="0.2">
      <c r="B12" t="s">
        <v>237</v>
      </c>
      <c r="C12">
        <v>2704</v>
      </c>
      <c r="D12">
        <v>2698</v>
      </c>
      <c r="E12">
        <v>2694</v>
      </c>
      <c r="F12">
        <v>2677</v>
      </c>
      <c r="G12">
        <v>2732</v>
      </c>
      <c r="H12">
        <v>2755</v>
      </c>
      <c r="I12">
        <v>2778</v>
      </c>
      <c r="J12">
        <v>2778</v>
      </c>
      <c r="K12">
        <v>2775</v>
      </c>
      <c r="L12">
        <v>2782</v>
      </c>
      <c r="M12">
        <v>2819</v>
      </c>
      <c r="N12">
        <v>2864</v>
      </c>
      <c r="O12" s="95">
        <f t="shared" ref="O12:O26" si="3">SUM(C12:N12)/12</f>
        <v>2754.6666666666665</v>
      </c>
      <c r="P12" s="95">
        <f t="shared" si="1"/>
        <v>264.41666666666652</v>
      </c>
      <c r="Q12" s="99">
        <f t="shared" si="2"/>
        <v>0.10618077167620379</v>
      </c>
    </row>
    <row r="13" spans="1:17" x14ac:dyDescent="0.2">
      <c r="B13" t="s">
        <v>261</v>
      </c>
      <c r="C13">
        <v>2871</v>
      </c>
      <c r="D13">
        <v>2904</v>
      </c>
      <c r="E13">
        <v>2884</v>
      </c>
      <c r="F13">
        <v>2895</v>
      </c>
      <c r="G13">
        <v>2826</v>
      </c>
      <c r="H13">
        <v>2865</v>
      </c>
      <c r="I13">
        <v>2853</v>
      </c>
      <c r="J13">
        <v>2903</v>
      </c>
      <c r="K13">
        <v>2885</v>
      </c>
      <c r="L13">
        <v>2910</v>
      </c>
      <c r="M13">
        <v>2930</v>
      </c>
      <c r="N13">
        <v>2884</v>
      </c>
      <c r="O13" s="95">
        <f t="shared" si="3"/>
        <v>2884.1666666666665</v>
      </c>
      <c r="P13" s="95">
        <f t="shared" si="1"/>
        <v>129.5</v>
      </c>
      <c r="Q13" s="99">
        <f t="shared" si="2"/>
        <v>4.7011132623426911E-2</v>
      </c>
    </row>
    <row r="14" spans="1:17" x14ac:dyDescent="0.2">
      <c r="B14" t="s">
        <v>280</v>
      </c>
      <c r="C14">
        <v>2896</v>
      </c>
      <c r="D14">
        <v>2980</v>
      </c>
      <c r="E14">
        <v>2969</v>
      </c>
      <c r="F14">
        <v>2961</v>
      </c>
      <c r="G14">
        <v>3022</v>
      </c>
      <c r="H14">
        <v>3037</v>
      </c>
      <c r="I14">
        <v>3049</v>
      </c>
      <c r="J14">
        <v>3076</v>
      </c>
      <c r="K14">
        <v>3088</v>
      </c>
      <c r="L14">
        <v>3074</v>
      </c>
      <c r="M14">
        <v>3058</v>
      </c>
      <c r="N14">
        <v>2954</v>
      </c>
      <c r="O14" s="95">
        <f t="shared" si="3"/>
        <v>3013.6666666666665</v>
      </c>
      <c r="P14" s="95">
        <f t="shared" si="1"/>
        <v>129.5</v>
      </c>
      <c r="Q14" s="99">
        <f t="shared" si="2"/>
        <v>4.4900317827217567E-2</v>
      </c>
    </row>
    <row r="15" spans="1:17" x14ac:dyDescent="0.2">
      <c r="B15" t="s">
        <v>323</v>
      </c>
      <c r="C15">
        <v>3027</v>
      </c>
      <c r="D15">
        <v>3039</v>
      </c>
      <c r="E15">
        <v>3034</v>
      </c>
      <c r="F15">
        <v>3040</v>
      </c>
      <c r="G15">
        <v>3022</v>
      </c>
      <c r="H15">
        <v>3057</v>
      </c>
      <c r="I15">
        <v>3074</v>
      </c>
      <c r="J15">
        <v>3088</v>
      </c>
      <c r="K15">
        <v>3056</v>
      </c>
      <c r="L15">
        <v>3094</v>
      </c>
      <c r="M15">
        <v>3138</v>
      </c>
      <c r="N15">
        <v>3130</v>
      </c>
      <c r="O15" s="95">
        <f t="shared" si="3"/>
        <v>3066.5833333333335</v>
      </c>
      <c r="P15" s="95">
        <f t="shared" si="1"/>
        <v>52.91666666666697</v>
      </c>
      <c r="Q15" s="99">
        <f t="shared" si="2"/>
        <v>1.7558898351952318E-2</v>
      </c>
    </row>
    <row r="16" spans="1:17" x14ac:dyDescent="0.2">
      <c r="B16" t="s">
        <v>348</v>
      </c>
      <c r="C16">
        <v>3123</v>
      </c>
      <c r="D16">
        <v>3065</v>
      </c>
      <c r="E16">
        <v>3115</v>
      </c>
      <c r="F16">
        <v>3134</v>
      </c>
      <c r="G16">
        <v>3160</v>
      </c>
      <c r="H16">
        <v>3165</v>
      </c>
      <c r="I16">
        <v>3166</v>
      </c>
      <c r="J16">
        <v>3187</v>
      </c>
      <c r="K16">
        <v>3069</v>
      </c>
      <c r="L16">
        <v>3020</v>
      </c>
      <c r="M16">
        <v>3040</v>
      </c>
      <c r="N16">
        <v>3070</v>
      </c>
      <c r="O16" s="95">
        <f t="shared" si="3"/>
        <v>3109.5</v>
      </c>
      <c r="P16" s="95">
        <f t="shared" si="1"/>
        <v>42.916666666666515</v>
      </c>
      <c r="Q16" s="99">
        <f t="shared" si="2"/>
        <v>1.3994945514823722E-2</v>
      </c>
    </row>
    <row r="17" spans="1:17" x14ac:dyDescent="0.2">
      <c r="B17" t="s">
        <v>401</v>
      </c>
      <c r="C17">
        <v>3068</v>
      </c>
      <c r="D17">
        <v>3065</v>
      </c>
      <c r="E17">
        <v>3103</v>
      </c>
      <c r="F17">
        <v>3034</v>
      </c>
      <c r="G17">
        <v>3036</v>
      </c>
      <c r="H17">
        <v>3045</v>
      </c>
      <c r="I17">
        <v>3049</v>
      </c>
      <c r="J17">
        <v>3041</v>
      </c>
      <c r="K17">
        <v>2986</v>
      </c>
      <c r="L17">
        <v>2936</v>
      </c>
      <c r="M17">
        <v>2897</v>
      </c>
      <c r="N17">
        <v>2906</v>
      </c>
      <c r="O17" s="95">
        <f t="shared" si="3"/>
        <v>3013.8333333333335</v>
      </c>
      <c r="P17" s="95">
        <f t="shared" si="1"/>
        <v>-95.666666666666515</v>
      </c>
      <c r="Q17" s="99">
        <f t="shared" si="2"/>
        <v>-3.0765932357828114E-2</v>
      </c>
    </row>
    <row r="18" spans="1:17" x14ac:dyDescent="0.2">
      <c r="B18" t="s">
        <v>414</v>
      </c>
      <c r="C18">
        <v>2911</v>
      </c>
      <c r="D18">
        <v>2880</v>
      </c>
      <c r="E18">
        <v>2853</v>
      </c>
      <c r="F18">
        <v>2835</v>
      </c>
      <c r="G18">
        <v>2828</v>
      </c>
      <c r="H18">
        <v>2758</v>
      </c>
      <c r="I18">
        <v>2810</v>
      </c>
      <c r="J18">
        <v>2815</v>
      </c>
      <c r="K18">
        <v>2770</v>
      </c>
      <c r="L18">
        <v>2722</v>
      </c>
      <c r="M18">
        <v>2761</v>
      </c>
      <c r="N18">
        <v>2747</v>
      </c>
      <c r="O18" s="95">
        <f t="shared" si="3"/>
        <v>2807.5</v>
      </c>
      <c r="P18" s="95">
        <f t="shared" si="1"/>
        <v>-206.33333333333348</v>
      </c>
      <c r="Q18" s="99">
        <f t="shared" si="2"/>
        <v>-6.846209146712387E-2</v>
      </c>
    </row>
    <row r="19" spans="1:17" x14ac:dyDescent="0.2">
      <c r="B19" t="s">
        <v>415</v>
      </c>
      <c r="C19">
        <v>2607</v>
      </c>
      <c r="D19">
        <v>2654</v>
      </c>
      <c r="E19">
        <v>2602</v>
      </c>
      <c r="F19">
        <v>2660</v>
      </c>
      <c r="G19">
        <v>2612</v>
      </c>
      <c r="H19">
        <v>2542</v>
      </c>
      <c r="I19">
        <v>2515</v>
      </c>
      <c r="J19">
        <v>2539</v>
      </c>
      <c r="K19">
        <v>2614</v>
      </c>
      <c r="L19">
        <v>2633</v>
      </c>
      <c r="M19">
        <v>2586</v>
      </c>
      <c r="N19">
        <v>2590</v>
      </c>
      <c r="O19" s="95">
        <f t="shared" si="3"/>
        <v>2596.1666666666665</v>
      </c>
      <c r="P19" s="95">
        <f t="shared" ref="P19:P24" si="4">SUM(O19-O18)</f>
        <v>-211.33333333333348</v>
      </c>
      <c r="Q19" s="99">
        <f t="shared" si="2"/>
        <v>-7.5274562184624569E-2</v>
      </c>
    </row>
    <row r="20" spans="1:17" x14ac:dyDescent="0.2">
      <c r="B20" t="s">
        <v>626</v>
      </c>
      <c r="C20">
        <v>2481</v>
      </c>
      <c r="D20">
        <v>2502</v>
      </c>
      <c r="E20">
        <v>2560</v>
      </c>
      <c r="F20">
        <v>2577</v>
      </c>
      <c r="G20">
        <v>2485</v>
      </c>
      <c r="H20">
        <v>2505</v>
      </c>
      <c r="I20">
        <v>2521</v>
      </c>
      <c r="J20">
        <v>2517</v>
      </c>
      <c r="K20">
        <v>2505</v>
      </c>
      <c r="L20">
        <v>2411</v>
      </c>
      <c r="M20">
        <v>2387</v>
      </c>
      <c r="N20">
        <v>2391</v>
      </c>
      <c r="O20" s="95">
        <f t="shared" si="3"/>
        <v>2486.8333333333335</v>
      </c>
      <c r="P20" s="95">
        <f t="shared" si="4"/>
        <v>-109.33333333333303</v>
      </c>
      <c r="Q20" s="99">
        <f t="shared" si="2"/>
        <v>-4.2113372279642951E-2</v>
      </c>
    </row>
    <row r="21" spans="1:17" x14ac:dyDescent="0.2">
      <c r="B21" t="s">
        <v>627</v>
      </c>
      <c r="C21">
        <v>2371</v>
      </c>
      <c r="D21">
        <v>2284</v>
      </c>
      <c r="E21">
        <v>2184</v>
      </c>
      <c r="F21">
        <v>2132</v>
      </c>
      <c r="G21">
        <v>2074</v>
      </c>
      <c r="H21">
        <v>2090</v>
      </c>
      <c r="I21">
        <v>2073</v>
      </c>
      <c r="J21">
        <v>2027</v>
      </c>
      <c r="K21">
        <v>2025</v>
      </c>
      <c r="L21">
        <v>1974</v>
      </c>
      <c r="M21">
        <v>1935</v>
      </c>
      <c r="N21">
        <v>1936</v>
      </c>
      <c r="O21" s="95">
        <f t="shared" si="3"/>
        <v>2092.0833333333335</v>
      </c>
      <c r="P21" s="95">
        <f t="shared" si="4"/>
        <v>-394.75</v>
      </c>
      <c r="Q21" s="99">
        <f t="shared" si="2"/>
        <v>-0.15873600965082768</v>
      </c>
    </row>
    <row r="22" spans="1:17" x14ac:dyDescent="0.2">
      <c r="B22" t="s">
        <v>674</v>
      </c>
      <c r="C22">
        <v>1870</v>
      </c>
      <c r="D22">
        <v>1789</v>
      </c>
      <c r="E22">
        <v>1774</v>
      </c>
      <c r="F22">
        <v>1739</v>
      </c>
      <c r="G22">
        <v>1747</v>
      </c>
      <c r="H22">
        <v>1704</v>
      </c>
      <c r="I22">
        <v>1643</v>
      </c>
      <c r="J22">
        <v>1625</v>
      </c>
      <c r="K22">
        <v>1706</v>
      </c>
      <c r="L22">
        <v>1664</v>
      </c>
      <c r="M22">
        <v>1611</v>
      </c>
      <c r="N22">
        <v>1656</v>
      </c>
      <c r="O22" s="95">
        <f t="shared" si="3"/>
        <v>1710.6666666666667</v>
      </c>
      <c r="P22" s="95">
        <f t="shared" si="4"/>
        <v>-381.41666666666674</v>
      </c>
      <c r="Q22" s="99">
        <f t="shared" si="2"/>
        <v>-0.18231428002389966</v>
      </c>
    </row>
    <row r="23" spans="1:17" x14ac:dyDescent="0.2">
      <c r="B23" s="477" t="s">
        <v>692</v>
      </c>
      <c r="C23">
        <v>1643</v>
      </c>
      <c r="D23">
        <v>1635</v>
      </c>
      <c r="E23">
        <v>1633</v>
      </c>
      <c r="F23">
        <v>1662</v>
      </c>
      <c r="G23">
        <v>1658</v>
      </c>
      <c r="H23">
        <v>1677</v>
      </c>
      <c r="I23">
        <v>1673</v>
      </c>
      <c r="J23">
        <v>1679</v>
      </c>
      <c r="K23">
        <v>1673</v>
      </c>
      <c r="L23">
        <v>1666</v>
      </c>
      <c r="M23">
        <v>1695</v>
      </c>
      <c r="N23">
        <v>1701</v>
      </c>
      <c r="O23" s="95">
        <f t="shared" si="3"/>
        <v>1666.25</v>
      </c>
      <c r="P23" s="95">
        <f t="shared" si="4"/>
        <v>-44.416666666666742</v>
      </c>
      <c r="Q23" s="99">
        <f>SUM(P23/O22)</f>
        <v>-2.5964536243180091E-2</v>
      </c>
    </row>
    <row r="24" spans="1:17" x14ac:dyDescent="0.2">
      <c r="B24" s="477" t="s">
        <v>700</v>
      </c>
      <c r="C24">
        <v>1690</v>
      </c>
      <c r="D24">
        <v>1708</v>
      </c>
      <c r="E24">
        <v>1662</v>
      </c>
      <c r="F24">
        <v>1656</v>
      </c>
      <c r="G24">
        <v>1691</v>
      </c>
      <c r="H24">
        <v>1705</v>
      </c>
      <c r="I24">
        <v>1705</v>
      </c>
      <c r="J24">
        <v>1680</v>
      </c>
      <c r="K24">
        <v>1689</v>
      </c>
      <c r="L24">
        <v>1670</v>
      </c>
      <c r="M24">
        <v>1650</v>
      </c>
      <c r="N24">
        <v>1716</v>
      </c>
      <c r="O24" s="95">
        <f t="shared" si="3"/>
        <v>1685.1666666666667</v>
      </c>
      <c r="P24" s="95">
        <f t="shared" si="4"/>
        <v>18.916666666666742</v>
      </c>
      <c r="Q24" s="99">
        <f>SUM(P24/O23)</f>
        <v>1.1352838209552433E-2</v>
      </c>
    </row>
    <row r="25" spans="1:17" x14ac:dyDescent="0.2">
      <c r="B25" s="477" t="s">
        <v>737</v>
      </c>
      <c r="C25">
        <v>1723</v>
      </c>
      <c r="D25">
        <v>1686</v>
      </c>
      <c r="E25">
        <v>1687</v>
      </c>
      <c r="F25">
        <v>1703</v>
      </c>
      <c r="G25">
        <v>1717</v>
      </c>
      <c r="H25">
        <v>1733</v>
      </c>
      <c r="I25">
        <v>1725</v>
      </c>
      <c r="J25">
        <v>1733</v>
      </c>
      <c r="K25">
        <v>1732</v>
      </c>
      <c r="L25">
        <v>1730</v>
      </c>
      <c r="M25">
        <v>1724</v>
      </c>
      <c r="N25">
        <v>1720</v>
      </c>
      <c r="O25" s="95">
        <f t="shared" si="3"/>
        <v>1717.75</v>
      </c>
      <c r="P25" s="95">
        <f>SUM(O25-O24)</f>
        <v>32.583333333333258</v>
      </c>
      <c r="Q25" s="99">
        <f>SUM(P25/O24)</f>
        <v>1.9335377311838545E-2</v>
      </c>
    </row>
    <row r="26" spans="1:17" x14ac:dyDescent="0.2">
      <c r="B26" s="477" t="s">
        <v>792</v>
      </c>
      <c r="C26">
        <v>1740</v>
      </c>
      <c r="D26">
        <v>1738</v>
      </c>
      <c r="E26">
        <v>1746</v>
      </c>
      <c r="F26">
        <v>1749</v>
      </c>
      <c r="G26">
        <v>1719</v>
      </c>
      <c r="H26">
        <v>1707</v>
      </c>
      <c r="I26">
        <v>1689</v>
      </c>
      <c r="J26">
        <v>1684</v>
      </c>
      <c r="K26">
        <v>1679</v>
      </c>
      <c r="L26">
        <v>1673</v>
      </c>
      <c r="M26">
        <v>1685</v>
      </c>
      <c r="N26">
        <v>1714</v>
      </c>
      <c r="O26" s="95">
        <f t="shared" si="3"/>
        <v>1710.25</v>
      </c>
      <c r="P26" s="95">
        <f>SUM(O26-O25)</f>
        <v>-7.5</v>
      </c>
      <c r="Q26" s="99">
        <f>SUM(P26/O25)</f>
        <v>-4.3661766846165044E-3</v>
      </c>
    </row>
    <row r="27" spans="1:17" x14ac:dyDescent="0.2">
      <c r="B27" s="477" t="s">
        <v>959</v>
      </c>
      <c r="C27">
        <v>1729</v>
      </c>
      <c r="D27">
        <v>1726</v>
      </c>
      <c r="E27">
        <v>1720</v>
      </c>
      <c r="F27">
        <v>1745</v>
      </c>
      <c r="G27">
        <v>1749</v>
      </c>
      <c r="H27">
        <v>1745</v>
      </c>
      <c r="I27">
        <v>1752</v>
      </c>
      <c r="J27">
        <v>1750</v>
      </c>
      <c r="K27">
        <v>1706</v>
      </c>
      <c r="L27">
        <v>1689</v>
      </c>
      <c r="M27">
        <v>1680</v>
      </c>
      <c r="N27">
        <v>1678</v>
      </c>
      <c r="O27" s="95">
        <f>SUM(C27:N27)/12</f>
        <v>1722.4166666666667</v>
      </c>
      <c r="P27" s="95">
        <f>SUM(O27-O26)</f>
        <v>12.166666666666742</v>
      </c>
      <c r="Q27" s="99">
        <f>SUM(P27/O26)</f>
        <v>7.1139696925401211E-3</v>
      </c>
    </row>
    <row r="28" spans="1:17" ht="38.25" x14ac:dyDescent="0.2">
      <c r="A28" s="97" t="s">
        <v>324</v>
      </c>
      <c r="B28" s="98" t="s">
        <v>304</v>
      </c>
      <c r="C28" s="100" t="s">
        <v>305</v>
      </c>
      <c r="D28" s="100" t="s">
        <v>306</v>
      </c>
      <c r="E28" s="100" t="s">
        <v>307</v>
      </c>
      <c r="F28" s="100" t="s">
        <v>308</v>
      </c>
      <c r="G28" s="100" t="s">
        <v>309</v>
      </c>
      <c r="H28" s="100" t="s">
        <v>310</v>
      </c>
      <c r="I28" s="100" t="s">
        <v>311</v>
      </c>
      <c r="J28" s="100" t="s">
        <v>312</v>
      </c>
      <c r="K28" s="100" t="s">
        <v>313</v>
      </c>
      <c r="L28" s="100" t="s">
        <v>314</v>
      </c>
      <c r="M28" s="100" t="s">
        <v>315</v>
      </c>
      <c r="N28" s="100" t="s">
        <v>316</v>
      </c>
    </row>
    <row r="29" spans="1:17" x14ac:dyDescent="0.2">
      <c r="B29" t="s">
        <v>320</v>
      </c>
      <c r="C29">
        <v>83</v>
      </c>
      <c r="D29">
        <v>80</v>
      </c>
      <c r="E29">
        <v>74</v>
      </c>
      <c r="F29">
        <v>78</v>
      </c>
      <c r="G29">
        <v>79</v>
      </c>
      <c r="H29">
        <v>81</v>
      </c>
      <c r="I29">
        <v>82</v>
      </c>
      <c r="J29">
        <v>83</v>
      </c>
      <c r="K29">
        <v>82</v>
      </c>
      <c r="L29">
        <v>83</v>
      </c>
      <c r="M29">
        <v>85</v>
      </c>
      <c r="N29">
        <v>87</v>
      </c>
      <c r="O29" s="95">
        <f t="shared" ref="O29:O37" si="5">SUM(C29:N29)/12</f>
        <v>81.416666666666671</v>
      </c>
      <c r="P29" s="95"/>
    </row>
    <row r="30" spans="1:17" x14ac:dyDescent="0.2">
      <c r="B30" t="s">
        <v>321</v>
      </c>
      <c r="C30">
        <v>92</v>
      </c>
      <c r="D30">
        <v>93</v>
      </c>
      <c r="E30">
        <v>94</v>
      </c>
      <c r="F30">
        <v>97</v>
      </c>
      <c r="G30">
        <v>98</v>
      </c>
      <c r="H30">
        <v>95</v>
      </c>
      <c r="I30">
        <v>89</v>
      </c>
      <c r="J30">
        <v>93</v>
      </c>
      <c r="K30">
        <v>90</v>
      </c>
      <c r="L30">
        <v>97</v>
      </c>
      <c r="M30">
        <v>99</v>
      </c>
      <c r="N30">
        <v>92</v>
      </c>
      <c r="O30" s="95">
        <f t="shared" si="5"/>
        <v>94.083333333333329</v>
      </c>
      <c r="P30" s="95">
        <f t="shared" ref="P30:P49" si="6">SUM(O30-O29)</f>
        <v>12.666666666666657</v>
      </c>
      <c r="Q30" s="99">
        <f t="shared" ref="Q30:Q49" si="7">SUM(P30/O29)</f>
        <v>0.15557830092118718</v>
      </c>
    </row>
    <row r="31" spans="1:17" x14ac:dyDescent="0.2">
      <c r="B31" t="s">
        <v>322</v>
      </c>
      <c r="C31">
        <v>90</v>
      </c>
      <c r="D31">
        <v>91</v>
      </c>
      <c r="E31">
        <v>92</v>
      </c>
      <c r="F31">
        <v>100</v>
      </c>
      <c r="G31">
        <v>99</v>
      </c>
      <c r="H31">
        <v>111</v>
      </c>
      <c r="I31">
        <v>102</v>
      </c>
      <c r="J31">
        <v>94</v>
      </c>
      <c r="K31">
        <v>96</v>
      </c>
      <c r="L31">
        <v>98</v>
      </c>
      <c r="M31">
        <v>93</v>
      </c>
      <c r="N31">
        <v>89</v>
      </c>
      <c r="O31" s="95">
        <f t="shared" si="5"/>
        <v>96.25</v>
      </c>
      <c r="P31" s="95">
        <f t="shared" si="6"/>
        <v>2.1666666666666714</v>
      </c>
      <c r="Q31" s="99">
        <f t="shared" si="7"/>
        <v>2.3029229406554524E-2</v>
      </c>
    </row>
    <row r="32" spans="1:17" x14ac:dyDescent="0.2">
      <c r="B32" t="s">
        <v>226</v>
      </c>
      <c r="C32">
        <v>72</v>
      </c>
      <c r="D32">
        <v>74</v>
      </c>
      <c r="E32">
        <v>73</v>
      </c>
      <c r="F32">
        <v>73</v>
      </c>
      <c r="G32">
        <v>73</v>
      </c>
      <c r="H32">
        <v>73</v>
      </c>
      <c r="I32">
        <v>73</v>
      </c>
      <c r="J32">
        <v>65</v>
      </c>
      <c r="K32">
        <v>65</v>
      </c>
      <c r="L32">
        <v>65</v>
      </c>
      <c r="M32">
        <v>65</v>
      </c>
      <c r="N32">
        <v>60</v>
      </c>
      <c r="O32" s="95">
        <f t="shared" si="5"/>
        <v>69.25</v>
      </c>
      <c r="P32" s="95">
        <f t="shared" si="6"/>
        <v>-27</v>
      </c>
      <c r="Q32" s="99">
        <f t="shared" si="7"/>
        <v>-0.2805194805194805</v>
      </c>
    </row>
    <row r="33" spans="2:18" x14ac:dyDescent="0.2">
      <c r="B33" t="s">
        <v>225</v>
      </c>
      <c r="C33">
        <v>59</v>
      </c>
      <c r="D33">
        <v>58</v>
      </c>
      <c r="E33">
        <v>59</v>
      </c>
      <c r="F33">
        <v>60</v>
      </c>
      <c r="G33">
        <v>56</v>
      </c>
      <c r="H33">
        <v>54</v>
      </c>
      <c r="I33">
        <v>54</v>
      </c>
      <c r="J33">
        <v>51</v>
      </c>
      <c r="K33">
        <v>53</v>
      </c>
      <c r="L33">
        <v>59</v>
      </c>
      <c r="M33">
        <v>64</v>
      </c>
      <c r="N33">
        <v>62</v>
      </c>
      <c r="O33" s="95">
        <f t="shared" si="5"/>
        <v>57.416666666666664</v>
      </c>
      <c r="P33" s="95">
        <f t="shared" si="6"/>
        <v>-11.833333333333336</v>
      </c>
      <c r="Q33" s="99">
        <f t="shared" si="7"/>
        <v>-0.17087845968712398</v>
      </c>
    </row>
    <row r="34" spans="2:18" x14ac:dyDescent="0.2">
      <c r="B34" t="s">
        <v>230</v>
      </c>
      <c r="C34">
        <v>66</v>
      </c>
      <c r="D34">
        <v>68</v>
      </c>
      <c r="E34">
        <v>66</v>
      </c>
      <c r="F34">
        <v>65</v>
      </c>
      <c r="G34">
        <v>63</v>
      </c>
      <c r="H34">
        <v>68</v>
      </c>
      <c r="I34">
        <v>63</v>
      </c>
      <c r="J34">
        <v>57</v>
      </c>
      <c r="K34">
        <v>45</v>
      </c>
      <c r="L34">
        <v>45</v>
      </c>
      <c r="M34">
        <v>47</v>
      </c>
      <c r="N34">
        <v>49</v>
      </c>
      <c r="O34" s="95">
        <f t="shared" si="5"/>
        <v>58.5</v>
      </c>
      <c r="P34" s="95">
        <f t="shared" si="6"/>
        <v>1.0833333333333357</v>
      </c>
      <c r="Q34" s="99">
        <f t="shared" si="7"/>
        <v>1.8867924528301928E-2</v>
      </c>
    </row>
    <row r="35" spans="2:18" x14ac:dyDescent="0.2">
      <c r="B35" t="s">
        <v>234</v>
      </c>
      <c r="C35">
        <v>47</v>
      </c>
      <c r="D35">
        <v>45</v>
      </c>
      <c r="E35">
        <v>45</v>
      </c>
      <c r="F35">
        <v>47</v>
      </c>
      <c r="G35">
        <v>47</v>
      </c>
      <c r="H35">
        <v>42</v>
      </c>
      <c r="I35">
        <v>40</v>
      </c>
      <c r="J35">
        <v>42</v>
      </c>
      <c r="K35">
        <v>47</v>
      </c>
      <c r="L35">
        <v>46</v>
      </c>
      <c r="M35">
        <v>41</v>
      </c>
      <c r="N35">
        <v>39</v>
      </c>
      <c r="O35" s="95">
        <f t="shared" si="5"/>
        <v>44</v>
      </c>
      <c r="P35" s="95">
        <f t="shared" si="6"/>
        <v>-14.5</v>
      </c>
      <c r="Q35" s="99">
        <f t="shared" si="7"/>
        <v>-0.24786324786324787</v>
      </c>
    </row>
    <row r="36" spans="2:18" x14ac:dyDescent="0.2">
      <c r="B36" t="s">
        <v>235</v>
      </c>
      <c r="C36">
        <v>40</v>
      </c>
      <c r="D36">
        <v>40</v>
      </c>
      <c r="E36">
        <v>40</v>
      </c>
      <c r="F36">
        <v>43</v>
      </c>
      <c r="G36">
        <v>37</v>
      </c>
      <c r="H36">
        <v>38</v>
      </c>
      <c r="I36">
        <v>37</v>
      </c>
      <c r="J36">
        <v>39</v>
      </c>
      <c r="K36">
        <v>41</v>
      </c>
      <c r="L36">
        <v>51</v>
      </c>
      <c r="M36">
        <v>50</v>
      </c>
      <c r="N36">
        <v>37</v>
      </c>
      <c r="O36" s="95">
        <f t="shared" si="5"/>
        <v>41.083333333333336</v>
      </c>
      <c r="P36" s="95">
        <f t="shared" si="6"/>
        <v>-2.9166666666666643</v>
      </c>
      <c r="Q36" s="99">
        <f t="shared" si="7"/>
        <v>-6.6287878787878729E-2</v>
      </c>
    </row>
    <row r="37" spans="2:18" x14ac:dyDescent="0.2">
      <c r="B37" t="s">
        <v>236</v>
      </c>
      <c r="C37">
        <v>39</v>
      </c>
      <c r="D37">
        <v>39</v>
      </c>
      <c r="E37">
        <v>44</v>
      </c>
      <c r="F37">
        <v>39</v>
      </c>
      <c r="G37">
        <v>42</v>
      </c>
      <c r="H37">
        <v>41</v>
      </c>
      <c r="I37">
        <v>40</v>
      </c>
      <c r="J37">
        <v>37</v>
      </c>
      <c r="K37">
        <v>36</v>
      </c>
      <c r="L37">
        <v>36</v>
      </c>
      <c r="M37">
        <v>40</v>
      </c>
      <c r="N37">
        <v>41</v>
      </c>
      <c r="O37" s="95">
        <f t="shared" si="5"/>
        <v>39.5</v>
      </c>
      <c r="P37" s="95">
        <f t="shared" si="6"/>
        <v>-1.5833333333333357</v>
      </c>
      <c r="Q37" s="99">
        <f t="shared" si="7"/>
        <v>-3.8539553752535552E-2</v>
      </c>
    </row>
    <row r="38" spans="2:18" x14ac:dyDescent="0.2">
      <c r="B38" t="s">
        <v>237</v>
      </c>
      <c r="C38">
        <v>32</v>
      </c>
      <c r="D38">
        <v>34</v>
      </c>
      <c r="E38">
        <v>31</v>
      </c>
      <c r="F38">
        <v>32</v>
      </c>
      <c r="G38">
        <v>33</v>
      </c>
      <c r="H38">
        <v>31</v>
      </c>
      <c r="I38">
        <v>31</v>
      </c>
      <c r="J38">
        <v>31</v>
      </c>
      <c r="K38">
        <v>34</v>
      </c>
      <c r="L38">
        <v>36</v>
      </c>
      <c r="M38">
        <v>40</v>
      </c>
      <c r="N38">
        <v>39</v>
      </c>
      <c r="O38" s="95">
        <f>SUM(C38:N38)/12</f>
        <v>33.666666666666664</v>
      </c>
      <c r="P38" s="95">
        <f t="shared" si="6"/>
        <v>-5.8333333333333357</v>
      </c>
      <c r="Q38" s="99">
        <f t="shared" si="7"/>
        <v>-0.14767932489451482</v>
      </c>
    </row>
    <row r="39" spans="2:18" x14ac:dyDescent="0.2">
      <c r="B39" t="s">
        <v>261</v>
      </c>
      <c r="C39">
        <v>43</v>
      </c>
      <c r="D39">
        <v>43</v>
      </c>
      <c r="E39">
        <v>41</v>
      </c>
      <c r="F39">
        <v>0</v>
      </c>
      <c r="G39">
        <v>0</v>
      </c>
      <c r="H39">
        <v>0</v>
      </c>
      <c r="I39">
        <v>35</v>
      </c>
      <c r="J39">
        <v>35</v>
      </c>
      <c r="K39">
        <v>38</v>
      </c>
      <c r="L39">
        <v>36</v>
      </c>
      <c r="M39">
        <v>35</v>
      </c>
      <c r="N39">
        <v>32</v>
      </c>
      <c r="O39" s="95">
        <f>SUM(C39:N39)/9</f>
        <v>37.555555555555557</v>
      </c>
      <c r="P39" s="95">
        <f t="shared" si="6"/>
        <v>3.8888888888888928</v>
      </c>
      <c r="Q39" s="99">
        <f t="shared" si="7"/>
        <v>0.11551155115511563</v>
      </c>
    </row>
    <row r="40" spans="2:18" x14ac:dyDescent="0.2">
      <c r="B40" t="s">
        <v>280</v>
      </c>
      <c r="C40">
        <v>32</v>
      </c>
      <c r="D40">
        <v>33</v>
      </c>
      <c r="E40">
        <v>46</v>
      </c>
      <c r="F40">
        <v>60</v>
      </c>
      <c r="G40">
        <v>63</v>
      </c>
      <c r="H40">
        <v>62</v>
      </c>
      <c r="I40">
        <v>63</v>
      </c>
      <c r="J40">
        <v>64</v>
      </c>
      <c r="K40">
        <v>61</v>
      </c>
      <c r="L40">
        <v>60</v>
      </c>
      <c r="M40">
        <v>67</v>
      </c>
      <c r="N40">
        <v>70</v>
      </c>
      <c r="O40" s="95">
        <f t="shared" ref="O40:O53" si="8">SUM(C40:N40)/12</f>
        <v>56.75</v>
      </c>
      <c r="P40" s="95">
        <f t="shared" si="6"/>
        <v>19.194444444444443</v>
      </c>
      <c r="Q40" s="99">
        <f t="shared" si="7"/>
        <v>0.51109467455621294</v>
      </c>
    </row>
    <row r="41" spans="2:18" x14ac:dyDescent="0.2">
      <c r="B41" t="s">
        <v>323</v>
      </c>
      <c r="C41">
        <v>68</v>
      </c>
      <c r="D41">
        <v>65</v>
      </c>
      <c r="E41">
        <v>62</v>
      </c>
      <c r="F41">
        <v>61</v>
      </c>
      <c r="G41">
        <v>65</v>
      </c>
      <c r="H41">
        <v>66</v>
      </c>
      <c r="I41">
        <v>68</v>
      </c>
      <c r="J41">
        <v>66</v>
      </c>
      <c r="K41">
        <v>70</v>
      </c>
      <c r="L41">
        <v>68</v>
      </c>
      <c r="M41">
        <v>65</v>
      </c>
      <c r="N41">
        <v>68</v>
      </c>
      <c r="O41" s="95">
        <f t="shared" si="8"/>
        <v>66</v>
      </c>
      <c r="P41" s="95">
        <f t="shared" si="6"/>
        <v>9.25</v>
      </c>
      <c r="Q41" s="99">
        <f t="shared" si="7"/>
        <v>0.16299559471365638</v>
      </c>
    </row>
    <row r="42" spans="2:18" x14ac:dyDescent="0.2">
      <c r="B42" t="s">
        <v>348</v>
      </c>
      <c r="C42">
        <v>70</v>
      </c>
      <c r="D42">
        <v>71</v>
      </c>
      <c r="E42">
        <v>74</v>
      </c>
      <c r="F42">
        <v>74</v>
      </c>
      <c r="G42">
        <v>74</v>
      </c>
      <c r="H42">
        <v>79</v>
      </c>
      <c r="I42">
        <v>77</v>
      </c>
      <c r="J42">
        <v>80</v>
      </c>
      <c r="K42">
        <v>70</v>
      </c>
      <c r="L42">
        <v>66</v>
      </c>
      <c r="M42">
        <v>65</v>
      </c>
      <c r="N42">
        <v>57</v>
      </c>
      <c r="O42" s="95">
        <f t="shared" si="8"/>
        <v>71.416666666666671</v>
      </c>
      <c r="P42" s="95">
        <f t="shared" si="6"/>
        <v>5.4166666666666714</v>
      </c>
      <c r="Q42" s="99">
        <f t="shared" si="7"/>
        <v>8.2070707070707141E-2</v>
      </c>
    </row>
    <row r="43" spans="2:18" x14ac:dyDescent="0.2">
      <c r="B43" t="s">
        <v>401</v>
      </c>
      <c r="C43">
        <v>55</v>
      </c>
      <c r="D43">
        <v>70</v>
      </c>
      <c r="E43">
        <v>75</v>
      </c>
      <c r="F43">
        <v>77</v>
      </c>
      <c r="G43">
        <v>78</v>
      </c>
      <c r="H43">
        <v>51</v>
      </c>
      <c r="I43">
        <v>46</v>
      </c>
      <c r="J43">
        <v>50</v>
      </c>
      <c r="K43">
        <v>52</v>
      </c>
      <c r="L43">
        <v>52</v>
      </c>
      <c r="M43">
        <v>53</v>
      </c>
      <c r="N43">
        <v>59</v>
      </c>
      <c r="O43" s="95">
        <f t="shared" si="8"/>
        <v>59.833333333333336</v>
      </c>
      <c r="P43" s="95">
        <f t="shared" si="6"/>
        <v>-11.583333333333336</v>
      </c>
      <c r="Q43" s="99">
        <f t="shared" si="7"/>
        <v>-0.16219369894982499</v>
      </c>
    </row>
    <row r="44" spans="2:18" x14ac:dyDescent="0.2">
      <c r="B44" t="s">
        <v>414</v>
      </c>
      <c r="C44">
        <v>56</v>
      </c>
      <c r="D44">
        <v>56</v>
      </c>
      <c r="E44">
        <v>56</v>
      </c>
      <c r="F44">
        <v>60</v>
      </c>
      <c r="G44">
        <v>51</v>
      </c>
      <c r="H44">
        <v>50</v>
      </c>
      <c r="I44">
        <v>54</v>
      </c>
      <c r="J44">
        <v>54</v>
      </c>
      <c r="K44">
        <v>7</v>
      </c>
      <c r="L44">
        <v>7</v>
      </c>
      <c r="M44">
        <v>8</v>
      </c>
      <c r="N44">
        <v>8</v>
      </c>
      <c r="O44" s="95">
        <f t="shared" si="8"/>
        <v>38.916666666666664</v>
      </c>
      <c r="P44" s="95">
        <f t="shared" si="6"/>
        <v>-20.916666666666671</v>
      </c>
      <c r="Q44" s="99">
        <f t="shared" si="7"/>
        <v>-0.34958217270194991</v>
      </c>
    </row>
    <row r="45" spans="2:18" x14ac:dyDescent="0.2">
      <c r="B45" t="s">
        <v>415</v>
      </c>
      <c r="C45">
        <v>8</v>
      </c>
      <c r="D45">
        <v>7</v>
      </c>
      <c r="E45">
        <v>7</v>
      </c>
      <c r="F45">
        <v>6</v>
      </c>
      <c r="G45">
        <v>4</v>
      </c>
      <c r="H45">
        <v>4</v>
      </c>
      <c r="I45">
        <v>5</v>
      </c>
      <c r="J45">
        <v>5</v>
      </c>
      <c r="K45">
        <v>5</v>
      </c>
      <c r="L45">
        <v>5</v>
      </c>
      <c r="M45">
        <v>32</v>
      </c>
      <c r="N45">
        <v>29</v>
      </c>
      <c r="O45" s="95">
        <f t="shared" si="8"/>
        <v>9.75</v>
      </c>
      <c r="P45" s="95">
        <f t="shared" si="6"/>
        <v>-29.166666666666664</v>
      </c>
      <c r="Q45" s="99">
        <f t="shared" si="7"/>
        <v>-0.74946466809421841</v>
      </c>
    </row>
    <row r="46" spans="2:18" x14ac:dyDescent="0.2">
      <c r="B46" t="s">
        <v>626</v>
      </c>
      <c r="C46">
        <v>30</v>
      </c>
      <c r="D46">
        <v>32</v>
      </c>
      <c r="E46">
        <v>34</v>
      </c>
      <c r="F46">
        <v>35</v>
      </c>
      <c r="G46">
        <v>33</v>
      </c>
      <c r="H46">
        <v>31</v>
      </c>
      <c r="I46">
        <v>31</v>
      </c>
      <c r="J46">
        <v>29</v>
      </c>
      <c r="K46">
        <v>29</v>
      </c>
      <c r="L46">
        <v>27</v>
      </c>
      <c r="M46">
        <v>26</v>
      </c>
      <c r="N46">
        <v>24</v>
      </c>
      <c r="O46" s="95">
        <f t="shared" si="8"/>
        <v>30.083333333333332</v>
      </c>
      <c r="P46" s="95">
        <f t="shared" si="6"/>
        <v>20.333333333333332</v>
      </c>
      <c r="Q46" s="99">
        <f t="shared" si="7"/>
        <v>2.0854700854700852</v>
      </c>
    </row>
    <row r="47" spans="2:18" x14ac:dyDescent="0.2">
      <c r="B47" t="s">
        <v>627</v>
      </c>
      <c r="C47">
        <v>47</v>
      </c>
      <c r="D47">
        <v>45</v>
      </c>
      <c r="E47">
        <v>42</v>
      </c>
      <c r="F47">
        <v>41</v>
      </c>
      <c r="G47">
        <v>38</v>
      </c>
      <c r="H47">
        <v>37</v>
      </c>
      <c r="I47">
        <v>41</v>
      </c>
      <c r="J47">
        <v>39</v>
      </c>
      <c r="K47">
        <v>38</v>
      </c>
      <c r="L47">
        <v>35</v>
      </c>
      <c r="M47">
        <v>37</v>
      </c>
      <c r="N47">
        <v>39</v>
      </c>
      <c r="O47" s="95">
        <f t="shared" si="8"/>
        <v>39.916666666666664</v>
      </c>
      <c r="P47" s="95">
        <f t="shared" si="6"/>
        <v>9.8333333333333321</v>
      </c>
      <c r="Q47" s="99">
        <f t="shared" si="7"/>
        <v>0.32686980609418281</v>
      </c>
      <c r="R47" t="s">
        <v>628</v>
      </c>
    </row>
    <row r="48" spans="2:18" x14ac:dyDescent="0.2">
      <c r="B48" t="s">
        <v>674</v>
      </c>
      <c r="C48">
        <v>37</v>
      </c>
      <c r="D48">
        <v>34</v>
      </c>
      <c r="E48">
        <v>32</v>
      </c>
      <c r="F48">
        <v>32</v>
      </c>
      <c r="G48">
        <v>36</v>
      </c>
      <c r="H48">
        <v>38</v>
      </c>
      <c r="I48">
        <v>37</v>
      </c>
      <c r="J48">
        <v>37</v>
      </c>
      <c r="K48">
        <v>33</v>
      </c>
      <c r="L48">
        <v>36</v>
      </c>
      <c r="M48">
        <v>36</v>
      </c>
      <c r="N48">
        <v>32</v>
      </c>
      <c r="O48" s="95">
        <f t="shared" si="8"/>
        <v>35</v>
      </c>
      <c r="P48" s="95">
        <f t="shared" si="6"/>
        <v>-4.9166666666666643</v>
      </c>
      <c r="Q48" s="99">
        <f t="shared" si="7"/>
        <v>-0.12317327766179535</v>
      </c>
    </row>
    <row r="49" spans="1:17" x14ac:dyDescent="0.2">
      <c r="B49" s="477" t="s">
        <v>692</v>
      </c>
      <c r="C49">
        <v>29</v>
      </c>
      <c r="D49">
        <v>29</v>
      </c>
      <c r="E49">
        <v>30</v>
      </c>
      <c r="F49">
        <v>31</v>
      </c>
      <c r="G49">
        <v>30</v>
      </c>
      <c r="H49">
        <v>31</v>
      </c>
      <c r="I49">
        <v>32</v>
      </c>
      <c r="J49">
        <v>33</v>
      </c>
      <c r="K49">
        <v>39</v>
      </c>
      <c r="L49">
        <v>37</v>
      </c>
      <c r="M49">
        <v>40</v>
      </c>
      <c r="N49">
        <v>40</v>
      </c>
      <c r="O49" s="95">
        <f t="shared" si="8"/>
        <v>33.416666666666664</v>
      </c>
      <c r="P49" s="95">
        <f t="shared" si="6"/>
        <v>-1.5833333333333357</v>
      </c>
      <c r="Q49" s="99">
        <f t="shared" si="7"/>
        <v>-4.5238095238095306E-2</v>
      </c>
    </row>
    <row r="50" spans="1:17" x14ac:dyDescent="0.2">
      <c r="B50" s="477" t="s">
        <v>700</v>
      </c>
      <c r="C50">
        <v>39</v>
      </c>
      <c r="D50">
        <v>35</v>
      </c>
      <c r="E50">
        <v>37</v>
      </c>
      <c r="F50">
        <v>37</v>
      </c>
      <c r="G50">
        <v>36</v>
      </c>
      <c r="H50">
        <v>32</v>
      </c>
      <c r="I50">
        <v>33</v>
      </c>
      <c r="J50">
        <v>33</v>
      </c>
      <c r="K50">
        <v>34</v>
      </c>
      <c r="L50">
        <v>32</v>
      </c>
      <c r="M50">
        <v>32</v>
      </c>
      <c r="N50">
        <v>32</v>
      </c>
      <c r="O50" s="95">
        <f t="shared" si="8"/>
        <v>34.333333333333336</v>
      </c>
      <c r="P50" s="95">
        <f>SUM(O50-O49)</f>
        <v>0.9166666666666714</v>
      </c>
      <c r="Q50" s="99">
        <f>SUM(P50/O49)</f>
        <v>2.7431421446384184E-2</v>
      </c>
    </row>
    <row r="51" spans="1:17" x14ac:dyDescent="0.2">
      <c r="B51" s="477" t="s">
        <v>737</v>
      </c>
      <c r="C51">
        <v>33</v>
      </c>
      <c r="D51">
        <v>31</v>
      </c>
      <c r="E51">
        <v>28</v>
      </c>
      <c r="F51">
        <v>30</v>
      </c>
      <c r="G51">
        <v>30</v>
      </c>
      <c r="H51">
        <v>29</v>
      </c>
      <c r="I51">
        <v>29</v>
      </c>
      <c r="J51">
        <v>29</v>
      </c>
      <c r="K51">
        <v>31</v>
      </c>
      <c r="L51">
        <v>30</v>
      </c>
      <c r="M51">
        <v>30</v>
      </c>
      <c r="N51">
        <v>30</v>
      </c>
      <c r="O51" s="95">
        <f t="shared" si="8"/>
        <v>30</v>
      </c>
      <c r="P51" s="95">
        <f>SUM(O51-O50)</f>
        <v>-4.3333333333333357</v>
      </c>
      <c r="Q51" s="99">
        <f>SUM(P51/O50)</f>
        <v>-0.12621359223300976</v>
      </c>
    </row>
    <row r="52" spans="1:17" x14ac:dyDescent="0.2">
      <c r="B52" s="477" t="s">
        <v>792</v>
      </c>
      <c r="C52">
        <v>30</v>
      </c>
      <c r="D52">
        <v>31</v>
      </c>
      <c r="E52">
        <v>32</v>
      </c>
      <c r="F52">
        <v>30</v>
      </c>
      <c r="G52">
        <v>30</v>
      </c>
      <c r="H52">
        <v>31</v>
      </c>
      <c r="I52">
        <v>62</v>
      </c>
      <c r="J52">
        <v>65</v>
      </c>
      <c r="K52">
        <v>64</v>
      </c>
      <c r="L52">
        <v>65</v>
      </c>
      <c r="M52">
        <v>69</v>
      </c>
      <c r="N52">
        <v>75</v>
      </c>
      <c r="O52" s="95">
        <f t="shared" si="8"/>
        <v>48.666666666666664</v>
      </c>
      <c r="P52" s="95">
        <f>SUM(O52-O51)</f>
        <v>18.666666666666664</v>
      </c>
      <c r="Q52" s="99">
        <f>SUM(P52/O51)</f>
        <v>0.62222222222222212</v>
      </c>
    </row>
    <row r="53" spans="1:17" x14ac:dyDescent="0.2">
      <c r="B53" s="477" t="s">
        <v>959</v>
      </c>
      <c r="C53">
        <v>77</v>
      </c>
      <c r="D53">
        <v>81</v>
      </c>
      <c r="E53">
        <v>82</v>
      </c>
      <c r="F53">
        <v>80</v>
      </c>
      <c r="G53">
        <v>80</v>
      </c>
      <c r="H53">
        <v>74</v>
      </c>
      <c r="I53">
        <v>72</v>
      </c>
      <c r="J53">
        <v>77</v>
      </c>
      <c r="K53">
        <v>77</v>
      </c>
      <c r="L53">
        <v>76</v>
      </c>
      <c r="M53">
        <v>79</v>
      </c>
      <c r="N53">
        <v>82</v>
      </c>
      <c r="O53" s="95">
        <f t="shared" si="8"/>
        <v>78.083333333333329</v>
      </c>
      <c r="P53" s="95">
        <f>SUM(O53-O52)</f>
        <v>29.416666666666664</v>
      </c>
      <c r="Q53" s="99">
        <f>SUM(P53/O52)</f>
        <v>0.60445205479452058</v>
      </c>
    </row>
    <row r="54" spans="1:17" x14ac:dyDescent="0.2">
      <c r="A54" s="381"/>
      <c r="B54" s="381"/>
      <c r="C54" s="381"/>
      <c r="D54" s="381"/>
      <c r="E54" s="381"/>
      <c r="F54" s="381"/>
      <c r="G54" s="381"/>
      <c r="H54" s="381"/>
      <c r="I54" s="381"/>
      <c r="J54" s="381"/>
      <c r="K54" s="381"/>
      <c r="L54" s="381"/>
      <c r="M54" s="381"/>
      <c r="N54" s="381"/>
      <c r="O54" s="381"/>
      <c r="P54" s="381"/>
      <c r="Q54" s="381"/>
    </row>
    <row r="55" spans="1:17" ht="38.25" x14ac:dyDescent="0.2">
      <c r="A55" s="97" t="s">
        <v>325</v>
      </c>
      <c r="B55" s="98" t="s">
        <v>304</v>
      </c>
      <c r="C55" s="100" t="s">
        <v>305</v>
      </c>
      <c r="D55" s="100" t="s">
        <v>306</v>
      </c>
      <c r="E55" s="100" t="s">
        <v>307</v>
      </c>
      <c r="F55" s="100" t="s">
        <v>308</v>
      </c>
      <c r="G55" s="100" t="s">
        <v>309</v>
      </c>
      <c r="H55" s="100" t="s">
        <v>310</v>
      </c>
      <c r="I55" s="100" t="s">
        <v>311</v>
      </c>
      <c r="J55" s="100" t="s">
        <v>312</v>
      </c>
      <c r="K55" s="100" t="s">
        <v>313</v>
      </c>
      <c r="L55" s="100" t="s">
        <v>314</v>
      </c>
      <c r="M55" s="100" t="s">
        <v>315</v>
      </c>
      <c r="N55" s="100" t="s">
        <v>316</v>
      </c>
    </row>
    <row r="56" spans="1:17" x14ac:dyDescent="0.2">
      <c r="B56" t="s">
        <v>320</v>
      </c>
      <c r="C56">
        <v>305</v>
      </c>
      <c r="D56">
        <v>299</v>
      </c>
      <c r="E56">
        <v>289</v>
      </c>
      <c r="F56">
        <v>276</v>
      </c>
      <c r="G56">
        <v>277</v>
      </c>
      <c r="H56">
        <v>295</v>
      </c>
      <c r="I56">
        <v>283</v>
      </c>
      <c r="J56">
        <v>273</v>
      </c>
      <c r="K56">
        <v>259</v>
      </c>
      <c r="L56">
        <v>249</v>
      </c>
      <c r="M56">
        <v>241</v>
      </c>
      <c r="N56">
        <v>237</v>
      </c>
      <c r="O56" s="95">
        <f t="shared" ref="O56:O80" si="9">SUM(C56:N56)/12</f>
        <v>273.58333333333331</v>
      </c>
      <c r="P56" s="95"/>
    </row>
    <row r="57" spans="1:17" x14ac:dyDescent="0.2">
      <c r="B57" t="s">
        <v>321</v>
      </c>
      <c r="C57">
        <v>237</v>
      </c>
      <c r="D57">
        <v>230</v>
      </c>
      <c r="E57">
        <v>230</v>
      </c>
      <c r="F57">
        <v>230</v>
      </c>
      <c r="G57">
        <v>231</v>
      </c>
      <c r="H57">
        <v>215</v>
      </c>
      <c r="I57">
        <v>218</v>
      </c>
      <c r="J57">
        <v>212</v>
      </c>
      <c r="K57">
        <v>214</v>
      </c>
      <c r="L57">
        <v>217</v>
      </c>
      <c r="M57">
        <v>220</v>
      </c>
      <c r="N57">
        <v>218</v>
      </c>
      <c r="O57" s="95">
        <f t="shared" si="9"/>
        <v>222.66666666666666</v>
      </c>
      <c r="P57" s="95">
        <f t="shared" ref="P57:P70" si="10">SUM(O57-O56)</f>
        <v>-50.916666666666657</v>
      </c>
      <c r="Q57" s="99">
        <f t="shared" ref="Q57:Q76" si="11">SUM(P57/O56)</f>
        <v>-0.18611026500152297</v>
      </c>
    </row>
    <row r="58" spans="1:17" x14ac:dyDescent="0.2">
      <c r="B58" t="s">
        <v>322</v>
      </c>
      <c r="C58">
        <v>231</v>
      </c>
      <c r="D58">
        <v>230</v>
      </c>
      <c r="E58">
        <v>234</v>
      </c>
      <c r="F58">
        <v>229</v>
      </c>
      <c r="G58">
        <v>230</v>
      </c>
      <c r="H58">
        <v>240</v>
      </c>
      <c r="I58">
        <v>245</v>
      </c>
      <c r="J58">
        <v>250</v>
      </c>
      <c r="K58">
        <v>255</v>
      </c>
      <c r="L58">
        <v>260</v>
      </c>
      <c r="M58">
        <v>265</v>
      </c>
      <c r="N58">
        <v>270</v>
      </c>
      <c r="O58" s="95">
        <f t="shared" si="9"/>
        <v>244.91666666666666</v>
      </c>
      <c r="P58" s="95">
        <f t="shared" si="10"/>
        <v>22.25</v>
      </c>
      <c r="Q58" s="99">
        <f t="shared" si="11"/>
        <v>9.9925149700598806E-2</v>
      </c>
    </row>
    <row r="59" spans="1:17" x14ac:dyDescent="0.2">
      <c r="B59" t="s">
        <v>226</v>
      </c>
      <c r="C59">
        <v>280</v>
      </c>
      <c r="D59">
        <v>237</v>
      </c>
      <c r="E59">
        <v>253</v>
      </c>
      <c r="F59">
        <v>253</v>
      </c>
      <c r="G59">
        <v>253</v>
      </c>
      <c r="H59">
        <v>253</v>
      </c>
      <c r="I59">
        <v>253</v>
      </c>
      <c r="J59">
        <v>253</v>
      </c>
      <c r="K59">
        <v>253</v>
      </c>
      <c r="L59">
        <v>260</v>
      </c>
      <c r="M59">
        <v>265</v>
      </c>
      <c r="N59">
        <v>270</v>
      </c>
      <c r="O59" s="95">
        <f t="shared" si="9"/>
        <v>256.91666666666669</v>
      </c>
      <c r="P59" s="95">
        <f t="shared" si="10"/>
        <v>12.000000000000028</v>
      </c>
      <c r="Q59" s="99">
        <f t="shared" si="11"/>
        <v>4.899625723035058E-2</v>
      </c>
    </row>
    <row r="60" spans="1:17" x14ac:dyDescent="0.2">
      <c r="B60" t="s">
        <v>225</v>
      </c>
      <c r="C60">
        <v>288</v>
      </c>
      <c r="D60">
        <v>261</v>
      </c>
      <c r="E60">
        <v>258</v>
      </c>
      <c r="F60">
        <v>267</v>
      </c>
      <c r="G60">
        <v>259</v>
      </c>
      <c r="H60">
        <v>267</v>
      </c>
      <c r="I60">
        <v>272</v>
      </c>
      <c r="J60">
        <v>273</v>
      </c>
      <c r="K60">
        <v>300</v>
      </c>
      <c r="L60">
        <v>296</v>
      </c>
      <c r="M60">
        <v>319</v>
      </c>
      <c r="N60">
        <v>317</v>
      </c>
      <c r="O60" s="95">
        <f t="shared" si="9"/>
        <v>281.41666666666669</v>
      </c>
      <c r="P60" s="95">
        <f t="shared" si="10"/>
        <v>24.5</v>
      </c>
      <c r="Q60" s="99">
        <f t="shared" si="11"/>
        <v>9.5361660720077845E-2</v>
      </c>
    </row>
    <row r="61" spans="1:17" x14ac:dyDescent="0.2">
      <c r="B61" t="s">
        <v>230</v>
      </c>
      <c r="C61">
        <v>297</v>
      </c>
      <c r="D61">
        <v>306</v>
      </c>
      <c r="E61">
        <v>312</v>
      </c>
      <c r="F61">
        <v>311</v>
      </c>
      <c r="G61">
        <v>312</v>
      </c>
      <c r="H61">
        <v>252</v>
      </c>
      <c r="I61">
        <v>312</v>
      </c>
      <c r="J61">
        <v>314</v>
      </c>
      <c r="K61">
        <v>316</v>
      </c>
      <c r="L61">
        <v>235</v>
      </c>
      <c r="M61">
        <v>248</v>
      </c>
      <c r="N61">
        <v>323</v>
      </c>
      <c r="O61" s="95">
        <f t="shared" si="9"/>
        <v>294.83333333333331</v>
      </c>
      <c r="P61" s="95">
        <f t="shared" si="10"/>
        <v>13.416666666666629</v>
      </c>
      <c r="Q61" s="99">
        <f t="shared" si="11"/>
        <v>4.7675451584246235E-2</v>
      </c>
    </row>
    <row r="62" spans="1:17" x14ac:dyDescent="0.2">
      <c r="B62" t="s">
        <v>234</v>
      </c>
      <c r="C62">
        <v>322</v>
      </c>
      <c r="D62">
        <v>318</v>
      </c>
      <c r="E62">
        <v>302</v>
      </c>
      <c r="F62">
        <v>299</v>
      </c>
      <c r="G62">
        <v>301</v>
      </c>
      <c r="H62">
        <v>296</v>
      </c>
      <c r="I62">
        <v>286</v>
      </c>
      <c r="J62">
        <v>290</v>
      </c>
      <c r="K62">
        <v>283</v>
      </c>
      <c r="L62">
        <v>284</v>
      </c>
      <c r="M62">
        <v>289</v>
      </c>
      <c r="N62">
        <v>279</v>
      </c>
      <c r="O62" s="95">
        <f t="shared" si="9"/>
        <v>295.75</v>
      </c>
      <c r="P62" s="95">
        <f t="shared" si="10"/>
        <v>0.91666666666668561</v>
      </c>
      <c r="Q62" s="99">
        <f t="shared" si="11"/>
        <v>3.109101187111427E-3</v>
      </c>
    </row>
    <row r="63" spans="1:17" x14ac:dyDescent="0.2">
      <c r="B63" t="s">
        <v>235</v>
      </c>
      <c r="C63">
        <v>278</v>
      </c>
      <c r="D63">
        <v>270</v>
      </c>
      <c r="E63">
        <v>262</v>
      </c>
      <c r="F63">
        <v>253</v>
      </c>
      <c r="G63">
        <v>261</v>
      </c>
      <c r="H63">
        <v>259</v>
      </c>
      <c r="I63">
        <v>254</v>
      </c>
      <c r="J63">
        <v>255</v>
      </c>
      <c r="K63">
        <v>249</v>
      </c>
      <c r="L63">
        <v>267</v>
      </c>
      <c r="M63">
        <v>263</v>
      </c>
      <c r="N63">
        <v>250</v>
      </c>
      <c r="O63" s="95">
        <f t="shared" si="9"/>
        <v>260.08333333333331</v>
      </c>
      <c r="P63" s="95">
        <f t="shared" si="10"/>
        <v>-35.666666666666686</v>
      </c>
      <c r="Q63" s="99">
        <f t="shared" si="11"/>
        <v>-0.1205973513665822</v>
      </c>
    </row>
    <row r="64" spans="1:17" x14ac:dyDescent="0.2">
      <c r="B64" t="s">
        <v>236</v>
      </c>
      <c r="C64">
        <v>247</v>
      </c>
      <c r="D64">
        <v>250</v>
      </c>
      <c r="E64">
        <v>240</v>
      </c>
      <c r="F64">
        <v>238</v>
      </c>
      <c r="G64">
        <v>230</v>
      </c>
      <c r="H64">
        <v>228</v>
      </c>
      <c r="I64">
        <v>230</v>
      </c>
      <c r="J64">
        <v>228</v>
      </c>
      <c r="K64">
        <v>226</v>
      </c>
      <c r="L64">
        <v>224</v>
      </c>
      <c r="M64">
        <v>228</v>
      </c>
      <c r="N64">
        <v>233</v>
      </c>
      <c r="O64" s="95">
        <f t="shared" si="9"/>
        <v>233.5</v>
      </c>
      <c r="P64" s="95">
        <f t="shared" si="10"/>
        <v>-26.583333333333314</v>
      </c>
      <c r="Q64" s="99">
        <f t="shared" si="11"/>
        <v>-0.10221082986222359</v>
      </c>
    </row>
    <row r="65" spans="2:18" x14ac:dyDescent="0.2">
      <c r="B65" t="s">
        <v>237</v>
      </c>
      <c r="C65">
        <v>212</v>
      </c>
      <c r="D65">
        <v>216</v>
      </c>
      <c r="E65">
        <v>221</v>
      </c>
      <c r="F65">
        <v>228</v>
      </c>
      <c r="G65">
        <v>226</v>
      </c>
      <c r="H65">
        <v>230</v>
      </c>
      <c r="I65">
        <v>222</v>
      </c>
      <c r="J65">
        <v>225</v>
      </c>
      <c r="K65">
        <v>236</v>
      </c>
      <c r="L65">
        <v>242</v>
      </c>
      <c r="M65">
        <v>246</v>
      </c>
      <c r="N65">
        <v>252</v>
      </c>
      <c r="O65" s="95">
        <f t="shared" si="9"/>
        <v>229.66666666666666</v>
      </c>
      <c r="P65" s="95">
        <f t="shared" si="10"/>
        <v>-3.8333333333333428</v>
      </c>
      <c r="Q65" s="99">
        <f t="shared" si="11"/>
        <v>-1.6416845110635302E-2</v>
      </c>
    </row>
    <row r="66" spans="2:18" x14ac:dyDescent="0.2">
      <c r="B66" t="s">
        <v>261</v>
      </c>
      <c r="C66">
        <v>247</v>
      </c>
      <c r="D66">
        <v>248</v>
      </c>
      <c r="E66">
        <v>247</v>
      </c>
      <c r="F66">
        <v>247</v>
      </c>
      <c r="G66">
        <v>254</v>
      </c>
      <c r="H66">
        <v>258</v>
      </c>
      <c r="I66">
        <v>257</v>
      </c>
      <c r="J66">
        <v>255</v>
      </c>
      <c r="K66">
        <v>252</v>
      </c>
      <c r="L66">
        <v>251</v>
      </c>
      <c r="M66">
        <v>249</v>
      </c>
      <c r="N66">
        <v>259</v>
      </c>
      <c r="O66" s="95">
        <f t="shared" si="9"/>
        <v>252</v>
      </c>
      <c r="P66" s="95">
        <f t="shared" si="10"/>
        <v>22.333333333333343</v>
      </c>
      <c r="Q66" s="99">
        <f t="shared" si="11"/>
        <v>9.7242380261248235E-2</v>
      </c>
    </row>
    <row r="67" spans="2:18" x14ac:dyDescent="0.2">
      <c r="B67" t="s">
        <v>280</v>
      </c>
      <c r="C67">
        <v>264</v>
      </c>
      <c r="D67">
        <v>260</v>
      </c>
      <c r="E67">
        <v>262</v>
      </c>
      <c r="F67">
        <v>259</v>
      </c>
      <c r="G67">
        <v>247</v>
      </c>
      <c r="H67">
        <v>238</v>
      </c>
      <c r="I67">
        <v>224</v>
      </c>
      <c r="J67">
        <v>232</v>
      </c>
      <c r="K67">
        <v>239</v>
      </c>
      <c r="L67">
        <v>243</v>
      </c>
      <c r="M67">
        <v>246</v>
      </c>
      <c r="N67">
        <v>247</v>
      </c>
      <c r="O67" s="95">
        <f t="shared" si="9"/>
        <v>246.75</v>
      </c>
      <c r="P67" s="95">
        <f t="shared" si="10"/>
        <v>-5.25</v>
      </c>
      <c r="Q67" s="99">
        <f t="shared" si="11"/>
        <v>-2.0833333333333332E-2</v>
      </c>
      <c r="R67" t="s">
        <v>326</v>
      </c>
    </row>
    <row r="68" spans="2:18" x14ac:dyDescent="0.2">
      <c r="B68" t="s">
        <v>323</v>
      </c>
      <c r="C68">
        <v>257</v>
      </c>
      <c r="D68">
        <v>248</v>
      </c>
      <c r="E68">
        <v>250</v>
      </c>
      <c r="F68">
        <v>264</v>
      </c>
      <c r="G68">
        <v>265</v>
      </c>
      <c r="H68">
        <v>270</v>
      </c>
      <c r="I68">
        <v>279</v>
      </c>
      <c r="J68">
        <v>279</v>
      </c>
      <c r="K68">
        <v>266</v>
      </c>
      <c r="L68">
        <v>260</v>
      </c>
      <c r="M68">
        <v>260</v>
      </c>
      <c r="N68">
        <v>272</v>
      </c>
      <c r="O68" s="95">
        <f t="shared" si="9"/>
        <v>264.16666666666669</v>
      </c>
      <c r="P68" s="95">
        <f t="shared" si="10"/>
        <v>17.416666666666686</v>
      </c>
      <c r="Q68" s="99">
        <f t="shared" si="11"/>
        <v>7.0584262073623852E-2</v>
      </c>
    </row>
    <row r="69" spans="2:18" x14ac:dyDescent="0.2">
      <c r="B69" t="s">
        <v>348</v>
      </c>
      <c r="C69">
        <v>276</v>
      </c>
      <c r="D69">
        <v>277</v>
      </c>
      <c r="E69">
        <v>283</v>
      </c>
      <c r="F69">
        <v>298</v>
      </c>
      <c r="G69">
        <v>294</v>
      </c>
      <c r="H69">
        <v>295</v>
      </c>
      <c r="I69">
        <v>289</v>
      </c>
      <c r="J69">
        <v>284</v>
      </c>
      <c r="K69">
        <v>288</v>
      </c>
      <c r="L69">
        <v>290</v>
      </c>
      <c r="M69">
        <v>303</v>
      </c>
      <c r="N69">
        <v>300</v>
      </c>
      <c r="O69" s="95">
        <f t="shared" si="9"/>
        <v>289.75</v>
      </c>
      <c r="P69" s="95">
        <f t="shared" si="10"/>
        <v>25.583333333333314</v>
      </c>
      <c r="Q69" s="99">
        <f t="shared" si="11"/>
        <v>9.6845425867507814E-2</v>
      </c>
    </row>
    <row r="70" spans="2:18" x14ac:dyDescent="0.2">
      <c r="B70" t="s">
        <v>401</v>
      </c>
      <c r="C70">
        <v>305</v>
      </c>
      <c r="D70">
        <v>296</v>
      </c>
      <c r="E70">
        <v>293</v>
      </c>
      <c r="F70">
        <v>294</v>
      </c>
      <c r="G70">
        <v>286</v>
      </c>
      <c r="H70">
        <v>283</v>
      </c>
      <c r="I70">
        <v>274</v>
      </c>
      <c r="J70">
        <v>260</v>
      </c>
      <c r="K70">
        <v>259</v>
      </c>
      <c r="L70">
        <v>266</v>
      </c>
      <c r="M70">
        <v>259</v>
      </c>
      <c r="N70">
        <v>266</v>
      </c>
      <c r="O70" s="95">
        <f t="shared" si="9"/>
        <v>278.41666666666669</v>
      </c>
      <c r="P70" s="95">
        <f t="shared" si="10"/>
        <v>-11.333333333333314</v>
      </c>
      <c r="Q70" s="99">
        <f t="shared" si="11"/>
        <v>-3.9114178889847508E-2</v>
      </c>
    </row>
    <row r="71" spans="2:18" x14ac:dyDescent="0.2">
      <c r="B71" t="s">
        <v>414</v>
      </c>
      <c r="C71">
        <v>256</v>
      </c>
      <c r="D71">
        <v>252</v>
      </c>
      <c r="E71">
        <v>248</v>
      </c>
      <c r="F71">
        <v>249</v>
      </c>
      <c r="G71">
        <v>253</v>
      </c>
      <c r="H71">
        <v>244</v>
      </c>
      <c r="I71">
        <v>234</v>
      </c>
      <c r="J71">
        <v>221</v>
      </c>
      <c r="K71">
        <v>233</v>
      </c>
      <c r="L71">
        <v>230</v>
      </c>
      <c r="M71">
        <v>238</v>
      </c>
      <c r="N71">
        <v>251</v>
      </c>
      <c r="O71" s="95">
        <f t="shared" si="9"/>
        <v>242.41666666666666</v>
      </c>
      <c r="P71" s="95">
        <f t="shared" ref="P71:P76" si="12">SUM(O71-O70)</f>
        <v>-36.000000000000028</v>
      </c>
      <c r="Q71" s="99">
        <f t="shared" si="11"/>
        <v>-0.12930260401077531</v>
      </c>
    </row>
    <row r="72" spans="2:18" x14ac:dyDescent="0.2">
      <c r="B72" t="s">
        <v>415</v>
      </c>
      <c r="C72">
        <v>254</v>
      </c>
      <c r="D72">
        <v>242</v>
      </c>
      <c r="E72">
        <v>239</v>
      </c>
      <c r="F72">
        <v>236</v>
      </c>
      <c r="G72">
        <v>231</v>
      </c>
      <c r="H72">
        <v>238</v>
      </c>
      <c r="I72">
        <v>229</v>
      </c>
      <c r="J72">
        <v>248</v>
      </c>
      <c r="K72">
        <v>244</v>
      </c>
      <c r="L72">
        <v>254</v>
      </c>
      <c r="M72">
        <v>257</v>
      </c>
      <c r="N72">
        <v>258</v>
      </c>
      <c r="O72" s="95">
        <f t="shared" si="9"/>
        <v>244.16666666666666</v>
      </c>
      <c r="P72" s="95">
        <f t="shared" si="12"/>
        <v>1.75</v>
      </c>
      <c r="Q72" s="99">
        <f t="shared" si="11"/>
        <v>7.2189755929872815E-3</v>
      </c>
    </row>
    <row r="73" spans="2:18" x14ac:dyDescent="0.2">
      <c r="B73" t="s">
        <v>626</v>
      </c>
      <c r="C73">
        <v>255</v>
      </c>
      <c r="D73">
        <v>254</v>
      </c>
      <c r="E73">
        <v>247</v>
      </c>
      <c r="F73">
        <v>241</v>
      </c>
      <c r="G73">
        <v>243</v>
      </c>
      <c r="H73">
        <v>231</v>
      </c>
      <c r="I73">
        <v>230</v>
      </c>
      <c r="J73">
        <v>227</v>
      </c>
      <c r="K73">
        <v>234</v>
      </c>
      <c r="L73">
        <v>233</v>
      </c>
      <c r="M73">
        <v>238</v>
      </c>
      <c r="N73">
        <v>233</v>
      </c>
      <c r="O73" s="95">
        <f t="shared" si="9"/>
        <v>238.83333333333334</v>
      </c>
      <c r="P73" s="95">
        <f t="shared" si="12"/>
        <v>-5.3333333333333144</v>
      </c>
      <c r="Q73" s="99">
        <f t="shared" si="11"/>
        <v>-2.1843003412969207E-2</v>
      </c>
    </row>
    <row r="74" spans="2:18" x14ac:dyDescent="0.2">
      <c r="B74" t="s">
        <v>627</v>
      </c>
      <c r="C74">
        <v>209</v>
      </c>
      <c r="D74">
        <v>206</v>
      </c>
      <c r="E74">
        <v>206</v>
      </c>
      <c r="F74">
        <v>201</v>
      </c>
      <c r="G74">
        <v>197</v>
      </c>
      <c r="H74">
        <v>190</v>
      </c>
      <c r="I74">
        <v>185</v>
      </c>
      <c r="J74">
        <v>183</v>
      </c>
      <c r="K74">
        <v>148</v>
      </c>
      <c r="L74">
        <v>143</v>
      </c>
      <c r="M74">
        <v>166</v>
      </c>
      <c r="N74">
        <v>170</v>
      </c>
      <c r="O74" s="95">
        <f t="shared" si="9"/>
        <v>183.66666666666666</v>
      </c>
      <c r="P74" s="95">
        <f t="shared" si="12"/>
        <v>-55.166666666666686</v>
      </c>
      <c r="Q74" s="99">
        <f t="shared" si="11"/>
        <v>-0.23098394975575723</v>
      </c>
      <c r="R74" t="s">
        <v>675</v>
      </c>
    </row>
    <row r="75" spans="2:18" x14ac:dyDescent="0.2">
      <c r="B75" t="s">
        <v>674</v>
      </c>
      <c r="C75">
        <v>173</v>
      </c>
      <c r="D75">
        <v>173</v>
      </c>
      <c r="E75">
        <v>171</v>
      </c>
      <c r="F75">
        <v>174</v>
      </c>
      <c r="G75">
        <v>174</v>
      </c>
      <c r="H75">
        <v>175</v>
      </c>
      <c r="I75">
        <v>183</v>
      </c>
      <c r="J75">
        <v>189</v>
      </c>
      <c r="K75">
        <v>198</v>
      </c>
      <c r="L75">
        <v>225</v>
      </c>
      <c r="M75">
        <v>235</v>
      </c>
      <c r="N75">
        <v>254</v>
      </c>
      <c r="O75" s="95">
        <f t="shared" si="9"/>
        <v>193.66666666666666</v>
      </c>
      <c r="P75" s="95">
        <f t="shared" si="12"/>
        <v>10</v>
      </c>
      <c r="Q75" s="99">
        <f t="shared" si="11"/>
        <v>5.4446460980036297E-2</v>
      </c>
    </row>
    <row r="76" spans="2:18" x14ac:dyDescent="0.2">
      <c r="B76" s="477" t="s">
        <v>692</v>
      </c>
      <c r="C76">
        <v>268</v>
      </c>
      <c r="D76">
        <v>175</v>
      </c>
      <c r="E76">
        <v>179</v>
      </c>
      <c r="F76">
        <v>183</v>
      </c>
      <c r="G76">
        <v>196</v>
      </c>
      <c r="H76">
        <v>202</v>
      </c>
      <c r="I76">
        <v>211</v>
      </c>
      <c r="J76">
        <v>212</v>
      </c>
      <c r="K76">
        <v>210</v>
      </c>
      <c r="L76">
        <v>215</v>
      </c>
      <c r="M76">
        <v>223</v>
      </c>
      <c r="N76">
        <v>223</v>
      </c>
      <c r="O76" s="95">
        <f t="shared" si="9"/>
        <v>208.08333333333334</v>
      </c>
      <c r="P76" s="95">
        <f t="shared" si="12"/>
        <v>14.416666666666686</v>
      </c>
      <c r="Q76" s="99">
        <f t="shared" si="11"/>
        <v>7.4440619621342616E-2</v>
      </c>
    </row>
    <row r="77" spans="2:18" x14ac:dyDescent="0.2">
      <c r="B77" s="477" t="s">
        <v>700</v>
      </c>
      <c r="C77">
        <v>225</v>
      </c>
      <c r="D77">
        <v>227</v>
      </c>
      <c r="E77">
        <v>222</v>
      </c>
      <c r="F77">
        <v>224</v>
      </c>
      <c r="G77">
        <v>226</v>
      </c>
      <c r="H77">
        <v>228</v>
      </c>
      <c r="I77">
        <v>224</v>
      </c>
      <c r="J77">
        <v>173</v>
      </c>
      <c r="K77">
        <v>211</v>
      </c>
      <c r="L77">
        <v>221</v>
      </c>
      <c r="M77">
        <v>228</v>
      </c>
      <c r="N77">
        <v>229</v>
      </c>
      <c r="O77" s="95">
        <f t="shared" si="9"/>
        <v>219.83333333333334</v>
      </c>
      <c r="P77" s="95">
        <f>SUM(O77-O76)</f>
        <v>11.75</v>
      </c>
      <c r="Q77" s="99">
        <f>SUM(P77/O76)</f>
        <v>5.6467761313576288E-2</v>
      </c>
      <c r="R77" t="s">
        <v>738</v>
      </c>
    </row>
    <row r="78" spans="2:18" x14ac:dyDescent="0.2">
      <c r="B78" s="477" t="s">
        <v>737</v>
      </c>
      <c r="C78">
        <v>242</v>
      </c>
      <c r="D78">
        <v>241</v>
      </c>
      <c r="E78">
        <v>245</v>
      </c>
      <c r="F78">
        <v>246</v>
      </c>
      <c r="G78">
        <v>249</v>
      </c>
      <c r="H78">
        <v>252</v>
      </c>
      <c r="I78">
        <v>257</v>
      </c>
      <c r="J78">
        <v>257</v>
      </c>
      <c r="K78">
        <v>258</v>
      </c>
      <c r="L78">
        <v>257</v>
      </c>
      <c r="M78">
        <v>265</v>
      </c>
      <c r="N78">
        <v>264</v>
      </c>
      <c r="O78" s="95">
        <f t="shared" si="9"/>
        <v>252.75</v>
      </c>
      <c r="P78" s="95">
        <f>SUM(O78-O77)</f>
        <v>32.916666666666657</v>
      </c>
      <c r="Q78" s="99">
        <f>SUM(P78/O77)</f>
        <v>0.14973464746019707</v>
      </c>
    </row>
    <row r="79" spans="2:18" x14ac:dyDescent="0.2">
      <c r="B79" s="477" t="s">
        <v>792</v>
      </c>
      <c r="C79">
        <v>264</v>
      </c>
      <c r="D79">
        <v>269</v>
      </c>
      <c r="E79">
        <v>274</v>
      </c>
      <c r="F79">
        <v>278</v>
      </c>
      <c r="G79">
        <v>278</v>
      </c>
      <c r="H79">
        <v>284</v>
      </c>
      <c r="I79">
        <v>288</v>
      </c>
      <c r="J79">
        <v>290</v>
      </c>
      <c r="K79">
        <v>294</v>
      </c>
      <c r="L79">
        <v>301</v>
      </c>
      <c r="M79">
        <v>289</v>
      </c>
      <c r="N79">
        <v>246</v>
      </c>
      <c r="O79" s="95">
        <f t="shared" si="9"/>
        <v>279.58333333333331</v>
      </c>
      <c r="P79" s="95">
        <f>SUM(O79-O78)</f>
        <v>26.833333333333314</v>
      </c>
      <c r="Q79" s="99">
        <f>SUM(P79/O78)</f>
        <v>0.10616551269370253</v>
      </c>
    </row>
    <row r="80" spans="2:18" x14ac:dyDescent="0.2">
      <c r="B80" s="477" t="s">
        <v>959</v>
      </c>
      <c r="C80">
        <v>247</v>
      </c>
      <c r="D80">
        <v>196</v>
      </c>
      <c r="E80">
        <v>182</v>
      </c>
      <c r="F80">
        <v>179</v>
      </c>
      <c r="G80">
        <v>181</v>
      </c>
      <c r="H80">
        <v>184</v>
      </c>
      <c r="I80">
        <v>188</v>
      </c>
      <c r="J80">
        <v>185</v>
      </c>
      <c r="K80">
        <v>177</v>
      </c>
      <c r="L80">
        <v>173</v>
      </c>
      <c r="M80">
        <v>170</v>
      </c>
      <c r="N80">
        <v>167</v>
      </c>
      <c r="O80" s="95">
        <f t="shared" si="9"/>
        <v>185.75</v>
      </c>
      <c r="P80" s="95">
        <f>SUM(O80-O79)</f>
        <v>-93.833333333333314</v>
      </c>
      <c r="Q80" s="99">
        <f>SUM(P80/O79)</f>
        <v>-0.33561847988077492</v>
      </c>
    </row>
    <row r="81" spans="1:17" ht="38.25" x14ac:dyDescent="0.2">
      <c r="A81" s="97" t="s">
        <v>327</v>
      </c>
      <c r="B81" s="98" t="s">
        <v>304</v>
      </c>
      <c r="C81" s="100" t="s">
        <v>305</v>
      </c>
      <c r="D81" s="100" t="s">
        <v>306</v>
      </c>
      <c r="E81" s="100" t="s">
        <v>307</v>
      </c>
      <c r="F81" s="100" t="s">
        <v>308</v>
      </c>
      <c r="G81" s="100" t="s">
        <v>309</v>
      </c>
      <c r="H81" s="100" t="s">
        <v>310</v>
      </c>
      <c r="I81" s="100" t="s">
        <v>311</v>
      </c>
      <c r="J81" s="100" t="s">
        <v>312</v>
      </c>
      <c r="K81" s="100" t="s">
        <v>313</v>
      </c>
      <c r="L81" s="100" t="s">
        <v>314</v>
      </c>
      <c r="M81" s="100" t="s">
        <v>315</v>
      </c>
      <c r="N81" s="100" t="s">
        <v>316</v>
      </c>
    </row>
    <row r="82" spans="1:17" x14ac:dyDescent="0.2">
      <c r="B82" t="s">
        <v>320</v>
      </c>
      <c r="C82">
        <v>65</v>
      </c>
      <c r="D82">
        <v>62</v>
      </c>
      <c r="E82">
        <v>57</v>
      </c>
      <c r="F82">
        <v>56</v>
      </c>
      <c r="G82">
        <v>52</v>
      </c>
      <c r="H82">
        <v>51</v>
      </c>
      <c r="I82">
        <v>49</v>
      </c>
      <c r="J82">
        <v>55</v>
      </c>
      <c r="K82">
        <v>59</v>
      </c>
      <c r="L82">
        <v>55</v>
      </c>
      <c r="M82">
        <v>54</v>
      </c>
      <c r="N82">
        <v>66</v>
      </c>
      <c r="O82" s="95">
        <f t="shared" ref="O82:O106" si="13">SUM(C82:N82)/12</f>
        <v>56.75</v>
      </c>
      <c r="P82" s="95"/>
    </row>
    <row r="83" spans="1:17" x14ac:dyDescent="0.2">
      <c r="B83" t="s">
        <v>321</v>
      </c>
      <c r="C83">
        <v>67</v>
      </c>
      <c r="D83">
        <v>72</v>
      </c>
      <c r="E83">
        <v>72</v>
      </c>
      <c r="F83">
        <v>73</v>
      </c>
      <c r="G83">
        <v>71</v>
      </c>
      <c r="H83">
        <v>74</v>
      </c>
      <c r="I83">
        <v>74</v>
      </c>
      <c r="J83">
        <v>74</v>
      </c>
      <c r="K83">
        <v>70</v>
      </c>
      <c r="L83">
        <v>66</v>
      </c>
      <c r="M83">
        <v>62</v>
      </c>
      <c r="N83">
        <v>63</v>
      </c>
      <c r="O83" s="95">
        <f t="shared" si="13"/>
        <v>69.833333333333329</v>
      </c>
      <c r="P83" s="95">
        <f t="shared" ref="P83:P96" si="14">SUM(O83-O82)</f>
        <v>13.083333333333329</v>
      </c>
      <c r="Q83" s="99">
        <f t="shared" ref="Q83:Q103" si="15">SUM(P83/O82)</f>
        <v>0.23054331864904543</v>
      </c>
    </row>
    <row r="84" spans="1:17" x14ac:dyDescent="0.2">
      <c r="B84" t="s">
        <v>322</v>
      </c>
      <c r="C84">
        <v>68</v>
      </c>
      <c r="D84">
        <v>75</v>
      </c>
      <c r="E84">
        <v>74</v>
      </c>
      <c r="F84">
        <v>79</v>
      </c>
      <c r="G84">
        <v>75</v>
      </c>
      <c r="H84">
        <v>74</v>
      </c>
      <c r="I84">
        <v>64</v>
      </c>
      <c r="J84">
        <v>75</v>
      </c>
      <c r="K84">
        <v>76</v>
      </c>
      <c r="L84">
        <v>78</v>
      </c>
      <c r="M84">
        <v>79</v>
      </c>
      <c r="N84">
        <v>81</v>
      </c>
      <c r="O84" s="95">
        <f t="shared" si="13"/>
        <v>74.833333333333329</v>
      </c>
      <c r="P84" s="95">
        <f t="shared" si="14"/>
        <v>5</v>
      </c>
      <c r="Q84" s="99">
        <f t="shared" si="15"/>
        <v>7.1599045346062054E-2</v>
      </c>
    </row>
    <row r="85" spans="1:17" x14ac:dyDescent="0.2">
      <c r="B85" t="s">
        <v>226</v>
      </c>
      <c r="C85">
        <v>76</v>
      </c>
      <c r="D85">
        <v>79</v>
      </c>
      <c r="E85">
        <v>76</v>
      </c>
      <c r="F85">
        <v>74</v>
      </c>
      <c r="G85">
        <v>72</v>
      </c>
      <c r="H85">
        <v>70</v>
      </c>
      <c r="I85">
        <v>68</v>
      </c>
      <c r="J85">
        <v>59</v>
      </c>
      <c r="K85">
        <v>67</v>
      </c>
      <c r="L85">
        <v>66</v>
      </c>
      <c r="M85">
        <v>67</v>
      </c>
      <c r="N85">
        <v>64</v>
      </c>
      <c r="O85" s="95">
        <f t="shared" si="13"/>
        <v>69.833333333333329</v>
      </c>
      <c r="P85" s="95">
        <f t="shared" si="14"/>
        <v>-5</v>
      </c>
      <c r="Q85" s="99">
        <f t="shared" si="15"/>
        <v>-6.6815144766147E-2</v>
      </c>
    </row>
    <row r="86" spans="1:17" x14ac:dyDescent="0.2">
      <c r="B86" t="s">
        <v>225</v>
      </c>
      <c r="C86">
        <v>67</v>
      </c>
      <c r="D86">
        <v>57</v>
      </c>
      <c r="E86">
        <v>57</v>
      </c>
      <c r="F86">
        <v>58</v>
      </c>
      <c r="G86">
        <v>57</v>
      </c>
      <c r="H86">
        <v>60</v>
      </c>
      <c r="I86">
        <v>55</v>
      </c>
      <c r="J86">
        <v>55</v>
      </c>
      <c r="K86">
        <v>64</v>
      </c>
      <c r="L86">
        <v>61</v>
      </c>
      <c r="M86">
        <v>68</v>
      </c>
      <c r="N86">
        <v>67</v>
      </c>
      <c r="O86" s="95">
        <f t="shared" si="13"/>
        <v>60.5</v>
      </c>
      <c r="P86" s="95">
        <f t="shared" si="14"/>
        <v>-9.3333333333333286</v>
      </c>
      <c r="Q86" s="99">
        <f t="shared" si="15"/>
        <v>-0.13365155131264911</v>
      </c>
    </row>
    <row r="87" spans="1:17" x14ac:dyDescent="0.2">
      <c r="B87" t="s">
        <v>230</v>
      </c>
      <c r="C87">
        <v>71</v>
      </c>
      <c r="D87">
        <v>62</v>
      </c>
      <c r="E87">
        <v>61</v>
      </c>
      <c r="F87">
        <v>59</v>
      </c>
      <c r="G87">
        <v>54</v>
      </c>
      <c r="H87">
        <v>56</v>
      </c>
      <c r="I87">
        <v>56</v>
      </c>
      <c r="J87">
        <v>58</v>
      </c>
      <c r="K87">
        <v>60</v>
      </c>
      <c r="L87">
        <v>65</v>
      </c>
      <c r="M87">
        <v>72</v>
      </c>
      <c r="N87">
        <v>75</v>
      </c>
      <c r="O87" s="95">
        <f t="shared" si="13"/>
        <v>62.416666666666664</v>
      </c>
      <c r="P87" s="95">
        <f t="shared" si="14"/>
        <v>1.9166666666666643</v>
      </c>
      <c r="Q87" s="99">
        <f t="shared" si="15"/>
        <v>3.1680440771349822E-2</v>
      </c>
    </row>
    <row r="88" spans="1:17" x14ac:dyDescent="0.2">
      <c r="B88" t="s">
        <v>234</v>
      </c>
      <c r="C88">
        <v>76</v>
      </c>
      <c r="D88">
        <v>73</v>
      </c>
      <c r="E88">
        <v>67</v>
      </c>
      <c r="F88">
        <v>66</v>
      </c>
      <c r="G88">
        <v>66</v>
      </c>
      <c r="H88">
        <v>68</v>
      </c>
      <c r="I88">
        <v>69</v>
      </c>
      <c r="J88">
        <v>72</v>
      </c>
      <c r="K88">
        <v>69</v>
      </c>
      <c r="L88">
        <v>75</v>
      </c>
      <c r="M88">
        <v>73</v>
      </c>
      <c r="N88">
        <v>74</v>
      </c>
      <c r="O88" s="95">
        <f t="shared" si="13"/>
        <v>70.666666666666671</v>
      </c>
      <c r="P88" s="95">
        <f t="shared" si="14"/>
        <v>8.2500000000000071</v>
      </c>
      <c r="Q88" s="99">
        <f t="shared" si="15"/>
        <v>0.13217623497997341</v>
      </c>
    </row>
    <row r="89" spans="1:17" x14ac:dyDescent="0.2">
      <c r="B89" t="s">
        <v>235</v>
      </c>
      <c r="C89">
        <v>72</v>
      </c>
      <c r="D89">
        <v>72</v>
      </c>
      <c r="E89">
        <v>71</v>
      </c>
      <c r="F89">
        <v>73</v>
      </c>
      <c r="G89">
        <v>77</v>
      </c>
      <c r="H89">
        <v>76</v>
      </c>
      <c r="I89">
        <v>76</v>
      </c>
      <c r="J89">
        <v>78</v>
      </c>
      <c r="K89">
        <v>74</v>
      </c>
      <c r="L89">
        <v>88</v>
      </c>
      <c r="M89">
        <v>92</v>
      </c>
      <c r="N89">
        <v>76</v>
      </c>
      <c r="O89" s="95">
        <f t="shared" si="13"/>
        <v>77.083333333333329</v>
      </c>
      <c r="P89" s="95">
        <f t="shared" si="14"/>
        <v>6.4166666666666572</v>
      </c>
      <c r="Q89" s="99">
        <f t="shared" si="15"/>
        <v>9.0801886792452685E-2</v>
      </c>
    </row>
    <row r="90" spans="1:17" x14ac:dyDescent="0.2">
      <c r="B90" t="s">
        <v>236</v>
      </c>
      <c r="C90">
        <v>76</v>
      </c>
      <c r="D90">
        <v>79</v>
      </c>
      <c r="E90">
        <v>94</v>
      </c>
      <c r="F90">
        <v>75</v>
      </c>
      <c r="G90">
        <v>79</v>
      </c>
      <c r="H90">
        <v>77</v>
      </c>
      <c r="I90">
        <v>83</v>
      </c>
      <c r="J90">
        <v>83</v>
      </c>
      <c r="K90">
        <v>86</v>
      </c>
      <c r="L90">
        <v>85</v>
      </c>
      <c r="M90">
        <v>82</v>
      </c>
      <c r="N90">
        <v>89</v>
      </c>
      <c r="O90" s="95">
        <f t="shared" si="13"/>
        <v>82.333333333333329</v>
      </c>
      <c r="P90" s="95">
        <f t="shared" si="14"/>
        <v>5.25</v>
      </c>
      <c r="Q90" s="99">
        <f t="shared" si="15"/>
        <v>6.8108108108108106E-2</v>
      </c>
    </row>
    <row r="91" spans="1:17" x14ac:dyDescent="0.2">
      <c r="B91" t="s">
        <v>237</v>
      </c>
      <c r="C91">
        <v>92</v>
      </c>
      <c r="D91">
        <v>91</v>
      </c>
      <c r="E91">
        <v>95</v>
      </c>
      <c r="F91">
        <v>93</v>
      </c>
      <c r="G91">
        <v>96</v>
      </c>
      <c r="H91">
        <v>94</v>
      </c>
      <c r="I91">
        <v>91</v>
      </c>
      <c r="J91">
        <v>90</v>
      </c>
      <c r="K91">
        <v>91</v>
      </c>
      <c r="L91">
        <v>95</v>
      </c>
      <c r="M91">
        <v>96</v>
      </c>
      <c r="N91">
        <v>73</v>
      </c>
      <c r="O91" s="95">
        <f t="shared" si="13"/>
        <v>91.416666666666671</v>
      </c>
      <c r="P91" s="95">
        <f t="shared" si="14"/>
        <v>9.0833333333333428</v>
      </c>
      <c r="Q91" s="99">
        <f t="shared" si="15"/>
        <v>0.11032388663967624</v>
      </c>
    </row>
    <row r="92" spans="1:17" x14ac:dyDescent="0.2">
      <c r="B92" t="s">
        <v>261</v>
      </c>
      <c r="C92">
        <v>72</v>
      </c>
      <c r="D92">
        <v>72</v>
      </c>
      <c r="E92">
        <v>65</v>
      </c>
      <c r="F92">
        <v>62</v>
      </c>
      <c r="G92">
        <v>61</v>
      </c>
      <c r="H92">
        <v>65</v>
      </c>
      <c r="I92">
        <v>68</v>
      </c>
      <c r="J92">
        <v>70</v>
      </c>
      <c r="K92">
        <v>68</v>
      </c>
      <c r="L92">
        <v>70</v>
      </c>
      <c r="M92">
        <v>71</v>
      </c>
      <c r="N92">
        <v>73</v>
      </c>
      <c r="O92" s="95">
        <f t="shared" si="13"/>
        <v>68.083333333333329</v>
      </c>
      <c r="P92" s="95">
        <f t="shared" si="14"/>
        <v>-23.333333333333343</v>
      </c>
      <c r="Q92" s="99">
        <f t="shared" si="15"/>
        <v>-0.2552415679124887</v>
      </c>
    </row>
    <row r="93" spans="1:17" x14ac:dyDescent="0.2">
      <c r="B93" t="s">
        <v>280</v>
      </c>
      <c r="C93">
        <v>72</v>
      </c>
      <c r="D93">
        <v>70</v>
      </c>
      <c r="E93">
        <v>73</v>
      </c>
      <c r="F93">
        <v>77</v>
      </c>
      <c r="G93">
        <v>74</v>
      </c>
      <c r="H93">
        <v>74</v>
      </c>
      <c r="I93">
        <v>76</v>
      </c>
      <c r="J93">
        <v>75</v>
      </c>
      <c r="K93">
        <v>77</v>
      </c>
      <c r="L93">
        <v>82</v>
      </c>
      <c r="M93">
        <v>85</v>
      </c>
      <c r="N93">
        <v>88</v>
      </c>
      <c r="O93" s="95">
        <f t="shared" si="13"/>
        <v>76.916666666666671</v>
      </c>
      <c r="P93" s="95">
        <f t="shared" si="14"/>
        <v>8.8333333333333428</v>
      </c>
      <c r="Q93" s="99">
        <f t="shared" si="15"/>
        <v>0.1297429620563037</v>
      </c>
    </row>
    <row r="94" spans="1:17" x14ac:dyDescent="0.2">
      <c r="B94" t="s">
        <v>323</v>
      </c>
      <c r="C94">
        <v>88</v>
      </c>
      <c r="D94">
        <v>84</v>
      </c>
      <c r="E94">
        <v>81</v>
      </c>
      <c r="F94">
        <v>81</v>
      </c>
      <c r="G94">
        <v>79</v>
      </c>
      <c r="H94">
        <v>79</v>
      </c>
      <c r="I94">
        <v>77</v>
      </c>
      <c r="J94">
        <v>82</v>
      </c>
      <c r="K94">
        <v>80</v>
      </c>
      <c r="L94">
        <v>73</v>
      </c>
      <c r="M94">
        <v>76</v>
      </c>
      <c r="N94">
        <v>76</v>
      </c>
      <c r="O94" s="95">
        <f t="shared" si="13"/>
        <v>79.666666666666671</v>
      </c>
      <c r="P94" s="95">
        <f t="shared" si="14"/>
        <v>2.75</v>
      </c>
      <c r="Q94" s="99">
        <f t="shared" si="15"/>
        <v>3.5752979414951244E-2</v>
      </c>
    </row>
    <row r="95" spans="1:17" x14ac:dyDescent="0.2">
      <c r="B95" t="s">
        <v>348</v>
      </c>
      <c r="C95">
        <v>75</v>
      </c>
      <c r="D95">
        <v>77</v>
      </c>
      <c r="E95">
        <v>75</v>
      </c>
      <c r="F95">
        <v>75</v>
      </c>
      <c r="G95">
        <v>79</v>
      </c>
      <c r="H95">
        <v>74</v>
      </c>
      <c r="I95">
        <v>75</v>
      </c>
      <c r="J95">
        <v>77</v>
      </c>
      <c r="K95">
        <v>74</v>
      </c>
      <c r="L95">
        <v>70</v>
      </c>
      <c r="M95">
        <v>70</v>
      </c>
      <c r="N95">
        <v>72</v>
      </c>
      <c r="O95" s="95">
        <f t="shared" si="13"/>
        <v>74.416666666666671</v>
      </c>
      <c r="P95" s="95">
        <f t="shared" si="14"/>
        <v>-5.25</v>
      </c>
      <c r="Q95" s="99">
        <f t="shared" si="15"/>
        <v>-6.5899581589958151E-2</v>
      </c>
    </row>
    <row r="96" spans="1:17" x14ac:dyDescent="0.2">
      <c r="B96" t="s">
        <v>401</v>
      </c>
      <c r="C96">
        <v>74</v>
      </c>
      <c r="D96">
        <v>71</v>
      </c>
      <c r="E96">
        <v>73</v>
      </c>
      <c r="F96">
        <v>76</v>
      </c>
      <c r="G96">
        <v>72</v>
      </c>
      <c r="H96">
        <v>70</v>
      </c>
      <c r="I96">
        <v>73</v>
      </c>
      <c r="J96">
        <v>73</v>
      </c>
      <c r="K96">
        <v>72</v>
      </c>
      <c r="L96">
        <v>73</v>
      </c>
      <c r="M96">
        <v>76</v>
      </c>
      <c r="N96">
        <v>77</v>
      </c>
      <c r="O96" s="95">
        <f t="shared" si="13"/>
        <v>73.333333333333329</v>
      </c>
      <c r="P96" s="95">
        <f t="shared" si="14"/>
        <v>-1.0833333333333428</v>
      </c>
      <c r="Q96" s="99">
        <f t="shared" si="15"/>
        <v>-1.4557670772676497E-2</v>
      </c>
    </row>
    <row r="97" spans="1:18" x14ac:dyDescent="0.2">
      <c r="B97" t="s">
        <v>414</v>
      </c>
      <c r="C97">
        <v>71</v>
      </c>
      <c r="D97">
        <v>70</v>
      </c>
      <c r="E97">
        <v>68</v>
      </c>
      <c r="F97">
        <v>71</v>
      </c>
      <c r="G97">
        <v>69</v>
      </c>
      <c r="H97">
        <v>69</v>
      </c>
      <c r="I97">
        <v>67</v>
      </c>
      <c r="J97">
        <v>70</v>
      </c>
      <c r="K97">
        <v>69</v>
      </c>
      <c r="L97">
        <v>69</v>
      </c>
      <c r="M97">
        <v>69</v>
      </c>
      <c r="N97">
        <v>65</v>
      </c>
      <c r="O97" s="95">
        <f t="shared" si="13"/>
        <v>68.916666666666671</v>
      </c>
      <c r="P97" s="95">
        <f t="shared" ref="P97:P102" si="16">SUM(O97-O96)</f>
        <v>-4.4166666666666572</v>
      </c>
      <c r="Q97" s="99">
        <f t="shared" si="15"/>
        <v>-6.0227272727272602E-2</v>
      </c>
    </row>
    <row r="98" spans="1:18" x14ac:dyDescent="0.2">
      <c r="B98" t="s">
        <v>415</v>
      </c>
      <c r="C98">
        <v>69</v>
      </c>
      <c r="D98">
        <v>66</v>
      </c>
      <c r="E98">
        <v>63</v>
      </c>
      <c r="F98">
        <v>62</v>
      </c>
      <c r="G98">
        <v>65</v>
      </c>
      <c r="H98">
        <v>62</v>
      </c>
      <c r="I98">
        <v>64</v>
      </c>
      <c r="J98">
        <v>63</v>
      </c>
      <c r="K98">
        <v>57</v>
      </c>
      <c r="L98">
        <v>57</v>
      </c>
      <c r="M98">
        <v>57</v>
      </c>
      <c r="N98">
        <v>58</v>
      </c>
      <c r="O98" s="95">
        <f t="shared" si="13"/>
        <v>61.916666666666664</v>
      </c>
      <c r="P98" s="95">
        <f t="shared" si="16"/>
        <v>-7.0000000000000071</v>
      </c>
      <c r="Q98" s="99">
        <f t="shared" si="15"/>
        <v>-0.10157194679564702</v>
      </c>
    </row>
    <row r="99" spans="1:18" x14ac:dyDescent="0.2">
      <c r="B99" t="s">
        <v>626</v>
      </c>
      <c r="C99">
        <v>52</v>
      </c>
      <c r="D99">
        <v>53</v>
      </c>
      <c r="E99">
        <v>56</v>
      </c>
      <c r="F99">
        <v>51</v>
      </c>
      <c r="G99">
        <v>48</v>
      </c>
      <c r="H99">
        <v>50</v>
      </c>
      <c r="I99">
        <v>51</v>
      </c>
      <c r="J99">
        <v>48</v>
      </c>
      <c r="K99">
        <v>50</v>
      </c>
      <c r="L99">
        <v>52</v>
      </c>
      <c r="M99">
        <v>53</v>
      </c>
      <c r="N99">
        <v>53</v>
      </c>
      <c r="O99" s="95">
        <f t="shared" si="13"/>
        <v>51.416666666666664</v>
      </c>
      <c r="P99" s="95">
        <f t="shared" si="16"/>
        <v>-10.5</v>
      </c>
      <c r="Q99" s="99">
        <f t="shared" si="15"/>
        <v>-0.1695827725437416</v>
      </c>
    </row>
    <row r="100" spans="1:18" x14ac:dyDescent="0.2">
      <c r="B100" t="s">
        <v>627</v>
      </c>
      <c r="C100">
        <v>47</v>
      </c>
      <c r="D100">
        <v>47</v>
      </c>
      <c r="E100">
        <v>47</v>
      </c>
      <c r="F100">
        <v>49</v>
      </c>
      <c r="G100">
        <v>46</v>
      </c>
      <c r="H100">
        <v>47</v>
      </c>
      <c r="I100">
        <v>49</v>
      </c>
      <c r="J100">
        <v>47</v>
      </c>
      <c r="K100">
        <v>43</v>
      </c>
      <c r="L100">
        <v>40</v>
      </c>
      <c r="M100">
        <v>3</v>
      </c>
      <c r="N100">
        <v>2</v>
      </c>
      <c r="O100" s="95">
        <f t="shared" si="13"/>
        <v>38.916666666666664</v>
      </c>
      <c r="P100" s="95">
        <f t="shared" si="16"/>
        <v>-12.5</v>
      </c>
      <c r="Q100" s="99">
        <f t="shared" si="15"/>
        <v>-0.24311183144246354</v>
      </c>
      <c r="R100" t="s">
        <v>676</v>
      </c>
    </row>
    <row r="101" spans="1:18" x14ac:dyDescent="0.2">
      <c r="B101" t="s">
        <v>674</v>
      </c>
      <c r="C101">
        <v>2</v>
      </c>
      <c r="D101">
        <v>2</v>
      </c>
      <c r="E101">
        <v>2</v>
      </c>
      <c r="F101">
        <v>2</v>
      </c>
      <c r="G101">
        <v>2</v>
      </c>
      <c r="H101">
        <v>2</v>
      </c>
      <c r="I101">
        <v>2</v>
      </c>
      <c r="J101">
        <v>34</v>
      </c>
      <c r="K101">
        <v>2</v>
      </c>
      <c r="L101">
        <v>2</v>
      </c>
      <c r="M101">
        <v>2</v>
      </c>
      <c r="N101">
        <v>1</v>
      </c>
      <c r="O101" s="95">
        <f t="shared" si="13"/>
        <v>4.583333333333333</v>
      </c>
      <c r="P101" s="95">
        <f t="shared" si="16"/>
        <v>-34.333333333333329</v>
      </c>
      <c r="Q101" s="99">
        <f t="shared" si="15"/>
        <v>-0.88222698072805128</v>
      </c>
    </row>
    <row r="102" spans="1:18" x14ac:dyDescent="0.2">
      <c r="B102" s="477" t="s">
        <v>692</v>
      </c>
      <c r="C102">
        <v>0</v>
      </c>
      <c r="D102">
        <v>0</v>
      </c>
      <c r="E102">
        <v>0</v>
      </c>
      <c r="F102">
        <v>0</v>
      </c>
      <c r="G102">
        <v>0</v>
      </c>
      <c r="H102">
        <v>0</v>
      </c>
      <c r="I102">
        <v>0</v>
      </c>
      <c r="J102">
        <v>0</v>
      </c>
      <c r="K102">
        <v>0</v>
      </c>
      <c r="L102">
        <v>0</v>
      </c>
      <c r="M102">
        <v>0</v>
      </c>
      <c r="N102">
        <v>0</v>
      </c>
      <c r="O102" s="95">
        <f t="shared" si="13"/>
        <v>0</v>
      </c>
      <c r="P102" s="95">
        <f t="shared" si="16"/>
        <v>-4.583333333333333</v>
      </c>
      <c r="Q102" s="99">
        <f t="shared" si="15"/>
        <v>-1</v>
      </c>
    </row>
    <row r="103" spans="1:18" x14ac:dyDescent="0.2">
      <c r="B103" s="477" t="s">
        <v>700</v>
      </c>
      <c r="C103">
        <v>44</v>
      </c>
      <c r="D103">
        <v>45</v>
      </c>
      <c r="E103">
        <v>46</v>
      </c>
      <c r="F103">
        <v>43</v>
      </c>
      <c r="G103">
        <v>45</v>
      </c>
      <c r="H103">
        <v>46</v>
      </c>
      <c r="I103">
        <v>47</v>
      </c>
      <c r="J103">
        <v>46</v>
      </c>
      <c r="K103">
        <v>48</v>
      </c>
      <c r="L103">
        <v>50</v>
      </c>
      <c r="M103">
        <v>52</v>
      </c>
      <c r="N103">
        <v>54</v>
      </c>
      <c r="O103" s="95">
        <f t="shared" si="13"/>
        <v>47.166666666666664</v>
      </c>
      <c r="P103" s="95">
        <f>SUM(O103-O102)</f>
        <v>47.166666666666664</v>
      </c>
      <c r="Q103" s="99" t="e">
        <f t="shared" si="15"/>
        <v>#DIV/0!</v>
      </c>
    </row>
    <row r="104" spans="1:18" x14ac:dyDescent="0.2">
      <c r="B104" s="477" t="s">
        <v>737</v>
      </c>
      <c r="C104">
        <v>75</v>
      </c>
      <c r="D104">
        <v>55</v>
      </c>
      <c r="E104">
        <v>55</v>
      </c>
      <c r="F104">
        <v>54</v>
      </c>
      <c r="G104">
        <v>57</v>
      </c>
      <c r="H104">
        <v>57</v>
      </c>
      <c r="I104">
        <v>56</v>
      </c>
      <c r="J104">
        <v>57</v>
      </c>
      <c r="K104">
        <v>59</v>
      </c>
      <c r="L104">
        <v>59</v>
      </c>
      <c r="M104">
        <v>61</v>
      </c>
      <c r="N104">
        <v>64</v>
      </c>
      <c r="O104" s="95">
        <f t="shared" si="13"/>
        <v>59.083333333333336</v>
      </c>
      <c r="P104" s="95">
        <f>SUM(O104-O103)</f>
        <v>11.916666666666671</v>
      </c>
      <c r="Q104" s="99">
        <f>SUM(P104/O103)</f>
        <v>0.25265017667844536</v>
      </c>
    </row>
    <row r="105" spans="1:18" x14ac:dyDescent="0.2">
      <c r="B105" s="477" t="s">
        <v>792</v>
      </c>
      <c r="C105">
        <v>64</v>
      </c>
      <c r="D105">
        <v>63</v>
      </c>
      <c r="E105">
        <v>65</v>
      </c>
      <c r="F105">
        <v>65</v>
      </c>
      <c r="G105">
        <v>67</v>
      </c>
      <c r="H105">
        <v>66</v>
      </c>
      <c r="I105">
        <v>68</v>
      </c>
      <c r="J105">
        <v>69</v>
      </c>
      <c r="K105">
        <v>69</v>
      </c>
      <c r="L105">
        <v>71</v>
      </c>
      <c r="M105">
        <v>70</v>
      </c>
      <c r="N105">
        <v>72</v>
      </c>
      <c r="O105" s="95">
        <f t="shared" si="13"/>
        <v>67.416666666666671</v>
      </c>
      <c r="P105" s="95">
        <f>SUM(O105-O104)</f>
        <v>8.3333333333333357</v>
      </c>
      <c r="Q105" s="99">
        <f>SUM(P105/O104)</f>
        <v>0.14104372355430186</v>
      </c>
    </row>
    <row r="106" spans="1:18" x14ac:dyDescent="0.2">
      <c r="B106" s="477" t="s">
        <v>959</v>
      </c>
      <c r="C106">
        <v>72</v>
      </c>
      <c r="D106">
        <v>71</v>
      </c>
      <c r="E106">
        <v>72</v>
      </c>
      <c r="F106">
        <v>73</v>
      </c>
      <c r="G106">
        <v>74</v>
      </c>
      <c r="H106">
        <v>71</v>
      </c>
      <c r="I106">
        <v>70</v>
      </c>
      <c r="J106">
        <v>69</v>
      </c>
      <c r="K106">
        <v>69</v>
      </c>
      <c r="L106">
        <v>67</v>
      </c>
      <c r="M106">
        <v>69</v>
      </c>
      <c r="N106">
        <v>68</v>
      </c>
      <c r="O106" s="95">
        <f t="shared" si="13"/>
        <v>70.416666666666671</v>
      </c>
      <c r="P106" s="95">
        <f>SUM(O106-O105)</f>
        <v>3</v>
      </c>
      <c r="Q106" s="99">
        <f>SUM(P106/O105)</f>
        <v>4.4499381953028425E-2</v>
      </c>
    </row>
    <row r="107" spans="1:18" x14ac:dyDescent="0.2">
      <c r="A107" s="381"/>
      <c r="B107" s="381"/>
      <c r="C107" s="381"/>
      <c r="D107" s="381"/>
      <c r="E107" s="381"/>
      <c r="F107" s="381"/>
      <c r="G107" s="381"/>
      <c r="H107" s="381"/>
      <c r="I107" s="381"/>
      <c r="J107" s="381"/>
      <c r="K107" s="381"/>
      <c r="L107" s="381"/>
      <c r="M107" s="381"/>
      <c r="N107" s="381"/>
      <c r="O107" s="381"/>
      <c r="P107" s="381"/>
      <c r="Q107" s="381"/>
    </row>
    <row r="108" spans="1:18" ht="38.25" x14ac:dyDescent="0.2">
      <c r="A108" s="97" t="s">
        <v>328</v>
      </c>
      <c r="B108" s="98" t="s">
        <v>304</v>
      </c>
      <c r="C108" s="100" t="s">
        <v>305</v>
      </c>
      <c r="D108" s="100" t="s">
        <v>306</v>
      </c>
      <c r="E108" s="100" t="s">
        <v>307</v>
      </c>
      <c r="F108" s="100" t="s">
        <v>308</v>
      </c>
      <c r="G108" s="100" t="s">
        <v>309</v>
      </c>
      <c r="H108" s="100" t="s">
        <v>310</v>
      </c>
      <c r="I108" s="100" t="s">
        <v>311</v>
      </c>
      <c r="J108" s="100" t="s">
        <v>312</v>
      </c>
      <c r="K108" s="100" t="s">
        <v>313</v>
      </c>
      <c r="L108" s="100" t="s">
        <v>314</v>
      </c>
      <c r="M108" s="100" t="s">
        <v>315</v>
      </c>
      <c r="N108" s="100" t="s">
        <v>316</v>
      </c>
    </row>
    <row r="109" spans="1:18" x14ac:dyDescent="0.2">
      <c r="B109" t="s">
        <v>320</v>
      </c>
      <c r="C109">
        <v>683</v>
      </c>
      <c r="D109">
        <v>675</v>
      </c>
      <c r="E109">
        <v>696</v>
      </c>
      <c r="F109">
        <v>659</v>
      </c>
      <c r="G109">
        <v>661</v>
      </c>
      <c r="H109">
        <v>650</v>
      </c>
      <c r="I109">
        <v>666</v>
      </c>
      <c r="J109">
        <v>688</v>
      </c>
      <c r="K109">
        <v>667</v>
      </c>
      <c r="L109">
        <v>670</v>
      </c>
      <c r="M109">
        <v>639</v>
      </c>
      <c r="N109">
        <v>653</v>
      </c>
      <c r="O109" s="95">
        <f t="shared" ref="O109:O133" si="17">SUM(C109:N109)/12</f>
        <v>667.25</v>
      </c>
      <c r="P109" s="95"/>
    </row>
    <row r="110" spans="1:18" x14ac:dyDescent="0.2">
      <c r="B110" t="s">
        <v>321</v>
      </c>
      <c r="C110">
        <v>624</v>
      </c>
      <c r="D110">
        <v>643</v>
      </c>
      <c r="E110">
        <v>636</v>
      </c>
      <c r="F110">
        <v>670</v>
      </c>
      <c r="G110">
        <v>642</v>
      </c>
      <c r="H110">
        <v>655</v>
      </c>
      <c r="I110">
        <v>650</v>
      </c>
      <c r="J110">
        <v>660</v>
      </c>
      <c r="K110">
        <v>644</v>
      </c>
      <c r="L110">
        <v>672</v>
      </c>
      <c r="M110">
        <v>658</v>
      </c>
      <c r="N110">
        <v>659</v>
      </c>
      <c r="O110" s="95">
        <f t="shared" si="17"/>
        <v>651.08333333333337</v>
      </c>
      <c r="P110" s="95">
        <f t="shared" ref="P110:P123" si="18">SUM(O110-O109)</f>
        <v>-16.166666666666629</v>
      </c>
      <c r="Q110" s="99">
        <f t="shared" ref="Q110:Q129" si="19">SUM(P110/O109)</f>
        <v>-2.422879980017479E-2</v>
      </c>
    </row>
    <row r="111" spans="1:18" x14ac:dyDescent="0.2">
      <c r="B111" t="s">
        <v>322</v>
      </c>
      <c r="C111">
        <v>661</v>
      </c>
      <c r="D111">
        <v>673</v>
      </c>
      <c r="E111">
        <v>672</v>
      </c>
      <c r="F111">
        <v>632</v>
      </c>
      <c r="G111">
        <v>611</v>
      </c>
      <c r="H111">
        <v>620</v>
      </c>
      <c r="I111">
        <v>633</v>
      </c>
      <c r="J111">
        <v>653</v>
      </c>
      <c r="K111">
        <v>659</v>
      </c>
      <c r="L111">
        <v>665</v>
      </c>
      <c r="M111">
        <v>671</v>
      </c>
      <c r="N111">
        <v>677</v>
      </c>
      <c r="O111" s="95">
        <f t="shared" si="17"/>
        <v>652.25</v>
      </c>
      <c r="P111" s="95">
        <f t="shared" si="18"/>
        <v>1.1666666666666288</v>
      </c>
      <c r="Q111" s="99">
        <f t="shared" si="19"/>
        <v>1.7918853193395041E-3</v>
      </c>
    </row>
    <row r="112" spans="1:18" x14ac:dyDescent="0.2">
      <c r="B112" t="s">
        <v>226</v>
      </c>
      <c r="C112">
        <v>561</v>
      </c>
      <c r="D112">
        <v>574</v>
      </c>
      <c r="E112">
        <v>593</v>
      </c>
      <c r="F112">
        <v>589</v>
      </c>
      <c r="G112">
        <v>589</v>
      </c>
      <c r="H112">
        <v>589</v>
      </c>
      <c r="I112">
        <v>589</v>
      </c>
      <c r="J112">
        <v>589</v>
      </c>
      <c r="K112">
        <v>589</v>
      </c>
      <c r="L112">
        <v>589</v>
      </c>
      <c r="M112">
        <v>589</v>
      </c>
      <c r="N112">
        <v>623</v>
      </c>
      <c r="O112" s="95">
        <f t="shared" si="17"/>
        <v>588.58333333333337</v>
      </c>
      <c r="P112" s="95">
        <f t="shared" si="18"/>
        <v>-63.666666666666629</v>
      </c>
      <c r="Q112" s="99">
        <f t="shared" si="19"/>
        <v>-9.7610834291554816E-2</v>
      </c>
    </row>
    <row r="113" spans="2:17" x14ac:dyDescent="0.2">
      <c r="B113" t="s">
        <v>225</v>
      </c>
      <c r="C113">
        <v>585</v>
      </c>
      <c r="D113">
        <v>542</v>
      </c>
      <c r="E113">
        <v>535</v>
      </c>
      <c r="F113">
        <v>545</v>
      </c>
      <c r="G113">
        <v>547</v>
      </c>
      <c r="H113">
        <v>584</v>
      </c>
      <c r="I113">
        <v>608</v>
      </c>
      <c r="J113">
        <v>604</v>
      </c>
      <c r="K113">
        <v>592</v>
      </c>
      <c r="L113">
        <v>599</v>
      </c>
      <c r="M113">
        <v>628</v>
      </c>
      <c r="N113">
        <v>595</v>
      </c>
      <c r="O113" s="95">
        <f t="shared" si="17"/>
        <v>580.33333333333337</v>
      </c>
      <c r="P113" s="95">
        <f t="shared" si="18"/>
        <v>-8.25</v>
      </c>
      <c r="Q113" s="99">
        <f t="shared" si="19"/>
        <v>-1.4016706781820756E-2</v>
      </c>
    </row>
    <row r="114" spans="2:17" x14ac:dyDescent="0.2">
      <c r="B114" t="s">
        <v>230</v>
      </c>
      <c r="C114">
        <v>601</v>
      </c>
      <c r="D114">
        <v>626</v>
      </c>
      <c r="E114">
        <v>662</v>
      </c>
      <c r="F114">
        <v>646</v>
      </c>
      <c r="G114">
        <v>635</v>
      </c>
      <c r="H114">
        <v>634</v>
      </c>
      <c r="I114">
        <v>628</v>
      </c>
      <c r="J114">
        <v>656</v>
      </c>
      <c r="K114">
        <v>666</v>
      </c>
      <c r="L114">
        <v>657</v>
      </c>
      <c r="M114">
        <v>576</v>
      </c>
      <c r="N114">
        <v>650</v>
      </c>
      <c r="O114" s="95">
        <f t="shared" si="17"/>
        <v>636.41666666666663</v>
      </c>
      <c r="P114" s="95">
        <f t="shared" si="18"/>
        <v>56.083333333333258</v>
      </c>
      <c r="Q114" s="99">
        <f t="shared" si="19"/>
        <v>9.6639862148190564E-2</v>
      </c>
    </row>
    <row r="115" spans="2:17" x14ac:dyDescent="0.2">
      <c r="B115" t="s">
        <v>234</v>
      </c>
      <c r="C115">
        <v>648</v>
      </c>
      <c r="D115">
        <v>660</v>
      </c>
      <c r="E115">
        <v>652</v>
      </c>
      <c r="F115">
        <v>651</v>
      </c>
      <c r="G115">
        <v>646</v>
      </c>
      <c r="H115">
        <v>659</v>
      </c>
      <c r="I115">
        <v>646</v>
      </c>
      <c r="J115">
        <v>702</v>
      </c>
      <c r="K115">
        <v>699</v>
      </c>
      <c r="L115">
        <v>703</v>
      </c>
      <c r="M115">
        <v>711</v>
      </c>
      <c r="N115">
        <v>718</v>
      </c>
      <c r="O115" s="95">
        <f t="shared" si="17"/>
        <v>674.58333333333337</v>
      </c>
      <c r="P115" s="95">
        <f t="shared" si="18"/>
        <v>38.166666666666742</v>
      </c>
      <c r="Q115" s="99">
        <f t="shared" si="19"/>
        <v>5.99711928767842E-2</v>
      </c>
    </row>
    <row r="116" spans="2:17" x14ac:dyDescent="0.2">
      <c r="B116" t="s">
        <v>235</v>
      </c>
      <c r="C116">
        <v>731</v>
      </c>
      <c r="D116">
        <v>726</v>
      </c>
      <c r="E116">
        <v>720</v>
      </c>
      <c r="F116">
        <v>696</v>
      </c>
      <c r="G116">
        <v>731</v>
      </c>
      <c r="H116">
        <v>721</v>
      </c>
      <c r="I116">
        <v>713</v>
      </c>
      <c r="J116">
        <v>701</v>
      </c>
      <c r="K116">
        <v>691</v>
      </c>
      <c r="L116">
        <v>789</v>
      </c>
      <c r="M116">
        <v>764</v>
      </c>
      <c r="N116">
        <v>691</v>
      </c>
      <c r="O116" s="95">
        <f t="shared" si="17"/>
        <v>722.83333333333337</v>
      </c>
      <c r="P116" s="95">
        <f t="shared" si="18"/>
        <v>48.25</v>
      </c>
      <c r="Q116" s="99">
        <f t="shared" si="19"/>
        <v>7.1525633106856085E-2</v>
      </c>
    </row>
    <row r="117" spans="2:17" x14ac:dyDescent="0.2">
      <c r="B117" t="s">
        <v>236</v>
      </c>
      <c r="C117">
        <v>684</v>
      </c>
      <c r="D117">
        <v>691</v>
      </c>
      <c r="E117">
        <v>716</v>
      </c>
      <c r="F117">
        <v>676</v>
      </c>
      <c r="G117">
        <v>671</v>
      </c>
      <c r="H117">
        <v>676</v>
      </c>
      <c r="I117">
        <v>674</v>
      </c>
      <c r="J117">
        <v>667</v>
      </c>
      <c r="K117">
        <v>669</v>
      </c>
      <c r="L117">
        <v>676</v>
      </c>
      <c r="M117">
        <v>714</v>
      </c>
      <c r="N117">
        <v>718</v>
      </c>
      <c r="O117" s="95">
        <f t="shared" si="17"/>
        <v>686</v>
      </c>
      <c r="P117" s="95">
        <f t="shared" si="18"/>
        <v>-36.833333333333371</v>
      </c>
      <c r="Q117" s="99">
        <f t="shared" si="19"/>
        <v>-5.095688263776809E-2</v>
      </c>
    </row>
    <row r="118" spans="2:17" x14ac:dyDescent="0.2">
      <c r="B118" t="s">
        <v>237</v>
      </c>
      <c r="C118">
        <v>681</v>
      </c>
      <c r="D118">
        <v>689</v>
      </c>
      <c r="E118">
        <v>680</v>
      </c>
      <c r="F118">
        <v>661</v>
      </c>
      <c r="G118">
        <v>661</v>
      </c>
      <c r="H118">
        <v>678</v>
      </c>
      <c r="I118">
        <v>672</v>
      </c>
      <c r="J118">
        <v>687</v>
      </c>
      <c r="K118">
        <v>677</v>
      </c>
      <c r="L118">
        <v>674</v>
      </c>
      <c r="M118">
        <v>674</v>
      </c>
      <c r="N118">
        <v>691</v>
      </c>
      <c r="O118" s="95">
        <f t="shared" si="17"/>
        <v>677.08333333333337</v>
      </c>
      <c r="P118" s="95">
        <f t="shared" si="18"/>
        <v>-8.9166666666666288</v>
      </c>
      <c r="Q118" s="99">
        <f t="shared" si="19"/>
        <v>-1.2998056365403248E-2</v>
      </c>
    </row>
    <row r="119" spans="2:17" x14ac:dyDescent="0.2">
      <c r="B119" t="s">
        <v>261</v>
      </c>
      <c r="C119">
        <v>685</v>
      </c>
      <c r="D119">
        <v>703</v>
      </c>
      <c r="E119">
        <v>697</v>
      </c>
      <c r="F119">
        <v>714</v>
      </c>
      <c r="G119">
        <v>713</v>
      </c>
      <c r="H119">
        <v>746</v>
      </c>
      <c r="I119">
        <v>722</v>
      </c>
      <c r="J119">
        <v>724</v>
      </c>
      <c r="K119">
        <v>728</v>
      </c>
      <c r="L119">
        <v>696</v>
      </c>
      <c r="M119">
        <v>695</v>
      </c>
      <c r="N119">
        <v>676</v>
      </c>
      <c r="O119" s="95">
        <f t="shared" si="17"/>
        <v>708.25</v>
      </c>
      <c r="P119" s="95">
        <f t="shared" si="18"/>
        <v>31.166666666666629</v>
      </c>
      <c r="Q119" s="99">
        <f t="shared" si="19"/>
        <v>4.6030769230769174E-2</v>
      </c>
    </row>
    <row r="120" spans="2:17" x14ac:dyDescent="0.2">
      <c r="B120" t="s">
        <v>280</v>
      </c>
      <c r="C120">
        <v>691</v>
      </c>
      <c r="D120">
        <v>666</v>
      </c>
      <c r="E120">
        <v>624</v>
      </c>
      <c r="F120">
        <v>670</v>
      </c>
      <c r="G120">
        <v>672</v>
      </c>
      <c r="H120">
        <v>675</v>
      </c>
      <c r="I120">
        <v>651</v>
      </c>
      <c r="J120">
        <v>642</v>
      </c>
      <c r="K120">
        <v>588</v>
      </c>
      <c r="L120">
        <v>663</v>
      </c>
      <c r="M120">
        <v>660</v>
      </c>
      <c r="N120">
        <v>646</v>
      </c>
      <c r="O120" s="95">
        <f t="shared" si="17"/>
        <v>654</v>
      </c>
      <c r="P120" s="95">
        <f t="shared" si="18"/>
        <v>-54.25</v>
      </c>
      <c r="Q120" s="99">
        <f t="shared" si="19"/>
        <v>-7.6597246734909988E-2</v>
      </c>
    </row>
    <row r="121" spans="2:17" x14ac:dyDescent="0.2">
      <c r="B121" t="s">
        <v>323</v>
      </c>
      <c r="C121">
        <v>652</v>
      </c>
      <c r="D121">
        <v>655</v>
      </c>
      <c r="E121">
        <v>667</v>
      </c>
      <c r="F121">
        <v>658</v>
      </c>
      <c r="G121">
        <v>671</v>
      </c>
      <c r="H121">
        <v>681</v>
      </c>
      <c r="I121">
        <v>677</v>
      </c>
      <c r="J121">
        <v>673</v>
      </c>
      <c r="K121">
        <v>663</v>
      </c>
      <c r="L121">
        <v>656</v>
      </c>
      <c r="M121">
        <v>662</v>
      </c>
      <c r="N121">
        <v>679</v>
      </c>
      <c r="O121" s="95">
        <f t="shared" si="17"/>
        <v>666.16666666666663</v>
      </c>
      <c r="P121" s="95">
        <f t="shared" si="18"/>
        <v>12.166666666666629</v>
      </c>
      <c r="Q121" s="99">
        <f t="shared" si="19"/>
        <v>1.8603465851172216E-2</v>
      </c>
    </row>
    <row r="122" spans="2:17" x14ac:dyDescent="0.2">
      <c r="B122" t="s">
        <v>348</v>
      </c>
      <c r="C122">
        <v>674</v>
      </c>
      <c r="D122">
        <v>675</v>
      </c>
      <c r="E122">
        <v>693</v>
      </c>
      <c r="F122">
        <v>708</v>
      </c>
      <c r="G122">
        <v>741</v>
      </c>
      <c r="H122">
        <v>687</v>
      </c>
      <c r="I122">
        <v>729</v>
      </c>
      <c r="J122">
        <v>690</v>
      </c>
      <c r="K122">
        <v>701</v>
      </c>
      <c r="L122">
        <v>693</v>
      </c>
      <c r="M122">
        <v>738</v>
      </c>
      <c r="N122">
        <v>729</v>
      </c>
      <c r="O122" s="95">
        <f t="shared" si="17"/>
        <v>704.83333333333337</v>
      </c>
      <c r="P122" s="95">
        <f t="shared" si="18"/>
        <v>38.666666666666742</v>
      </c>
      <c r="Q122" s="99">
        <f t="shared" si="19"/>
        <v>5.804353264948723E-2</v>
      </c>
    </row>
    <row r="123" spans="2:17" x14ac:dyDescent="0.2">
      <c r="B123" t="s">
        <v>401</v>
      </c>
      <c r="C123">
        <v>722</v>
      </c>
      <c r="D123">
        <v>713</v>
      </c>
      <c r="E123">
        <v>717</v>
      </c>
      <c r="F123">
        <v>696</v>
      </c>
      <c r="G123">
        <v>673</v>
      </c>
      <c r="H123">
        <v>688</v>
      </c>
      <c r="I123">
        <v>676</v>
      </c>
      <c r="J123">
        <v>681</v>
      </c>
      <c r="K123">
        <v>670</v>
      </c>
      <c r="L123">
        <v>672</v>
      </c>
      <c r="M123">
        <v>697</v>
      </c>
      <c r="N123">
        <v>744</v>
      </c>
      <c r="O123" s="95">
        <f t="shared" si="17"/>
        <v>695.75</v>
      </c>
      <c r="P123" s="95">
        <f t="shared" si="18"/>
        <v>-9.0833333333333712</v>
      </c>
      <c r="Q123" s="99">
        <f t="shared" si="19"/>
        <v>-1.2887207377630699E-2</v>
      </c>
    </row>
    <row r="124" spans="2:17" x14ac:dyDescent="0.2">
      <c r="B124" t="s">
        <v>414</v>
      </c>
      <c r="C124">
        <v>681</v>
      </c>
      <c r="D124">
        <v>668</v>
      </c>
      <c r="E124">
        <v>662</v>
      </c>
      <c r="F124">
        <v>638</v>
      </c>
      <c r="G124">
        <v>665</v>
      </c>
      <c r="H124">
        <v>654</v>
      </c>
      <c r="I124">
        <v>640</v>
      </c>
      <c r="J124">
        <v>628</v>
      </c>
      <c r="K124">
        <v>699</v>
      </c>
      <c r="L124">
        <v>611</v>
      </c>
      <c r="M124">
        <v>605</v>
      </c>
      <c r="N124">
        <v>589</v>
      </c>
      <c r="O124" s="95">
        <f t="shared" si="17"/>
        <v>645</v>
      </c>
      <c r="P124" s="95">
        <f t="shared" ref="P124:P129" si="20">SUM(O124-O123)</f>
        <v>-50.75</v>
      </c>
      <c r="Q124" s="99">
        <f t="shared" si="19"/>
        <v>-7.294286740927057E-2</v>
      </c>
    </row>
    <row r="125" spans="2:17" x14ac:dyDescent="0.2">
      <c r="B125" t="s">
        <v>415</v>
      </c>
      <c r="C125">
        <v>578</v>
      </c>
      <c r="D125">
        <v>579</v>
      </c>
      <c r="E125">
        <v>577</v>
      </c>
      <c r="F125">
        <v>568</v>
      </c>
      <c r="G125">
        <v>572</v>
      </c>
      <c r="H125">
        <v>550</v>
      </c>
      <c r="I125">
        <v>554</v>
      </c>
      <c r="J125">
        <v>550</v>
      </c>
      <c r="K125">
        <v>559</v>
      </c>
      <c r="L125">
        <v>576</v>
      </c>
      <c r="M125">
        <v>548</v>
      </c>
      <c r="N125">
        <v>537</v>
      </c>
      <c r="O125" s="95">
        <f t="shared" si="17"/>
        <v>562.33333333333337</v>
      </c>
      <c r="P125" s="95">
        <f t="shared" si="20"/>
        <v>-82.666666666666629</v>
      </c>
      <c r="Q125" s="99">
        <f t="shared" si="19"/>
        <v>-0.12816537467700254</v>
      </c>
    </row>
    <row r="126" spans="2:17" x14ac:dyDescent="0.2">
      <c r="B126" t="s">
        <v>626</v>
      </c>
      <c r="C126">
        <v>512</v>
      </c>
      <c r="D126">
        <v>549</v>
      </c>
      <c r="E126">
        <v>569</v>
      </c>
      <c r="F126">
        <v>581</v>
      </c>
      <c r="G126">
        <v>582</v>
      </c>
      <c r="H126">
        <v>541</v>
      </c>
      <c r="I126">
        <v>539</v>
      </c>
      <c r="J126">
        <v>533</v>
      </c>
      <c r="K126">
        <v>554</v>
      </c>
      <c r="L126">
        <v>553</v>
      </c>
      <c r="M126">
        <v>556</v>
      </c>
      <c r="N126">
        <v>563</v>
      </c>
      <c r="O126" s="95">
        <f t="shared" si="17"/>
        <v>552.66666666666663</v>
      </c>
      <c r="P126" s="95">
        <f t="shared" si="20"/>
        <v>-9.6666666666667425</v>
      </c>
      <c r="Q126" s="99">
        <f t="shared" si="19"/>
        <v>-1.7190278601067116E-2</v>
      </c>
    </row>
    <row r="127" spans="2:17" x14ac:dyDescent="0.2">
      <c r="B127" t="s">
        <v>627</v>
      </c>
      <c r="C127">
        <v>553</v>
      </c>
      <c r="D127">
        <v>524</v>
      </c>
      <c r="E127">
        <v>513</v>
      </c>
      <c r="F127">
        <v>531</v>
      </c>
      <c r="G127">
        <v>527</v>
      </c>
      <c r="H127">
        <v>486</v>
      </c>
      <c r="I127">
        <v>464</v>
      </c>
      <c r="J127">
        <v>475</v>
      </c>
      <c r="K127">
        <v>460</v>
      </c>
      <c r="L127">
        <v>455</v>
      </c>
      <c r="M127">
        <v>442</v>
      </c>
      <c r="N127">
        <v>442</v>
      </c>
      <c r="O127" s="95">
        <f t="shared" si="17"/>
        <v>489.33333333333331</v>
      </c>
      <c r="P127" s="95">
        <f t="shared" si="20"/>
        <v>-63.333333333333314</v>
      </c>
      <c r="Q127" s="99">
        <f t="shared" si="19"/>
        <v>-0.11459589867310009</v>
      </c>
    </row>
    <row r="128" spans="2:17" x14ac:dyDescent="0.2">
      <c r="B128" t="s">
        <v>674</v>
      </c>
      <c r="C128">
        <v>459</v>
      </c>
      <c r="D128">
        <v>475</v>
      </c>
      <c r="E128">
        <v>483</v>
      </c>
      <c r="F128">
        <v>443</v>
      </c>
      <c r="G128">
        <v>413</v>
      </c>
      <c r="H128">
        <v>445</v>
      </c>
      <c r="I128">
        <v>443</v>
      </c>
      <c r="J128">
        <v>465</v>
      </c>
      <c r="K128">
        <v>466</v>
      </c>
      <c r="L128">
        <v>452</v>
      </c>
      <c r="M128">
        <v>465</v>
      </c>
      <c r="N128">
        <v>465</v>
      </c>
      <c r="O128" s="95">
        <f t="shared" si="17"/>
        <v>456.16666666666669</v>
      </c>
      <c r="P128" s="95">
        <f t="shared" si="20"/>
        <v>-33.166666666666629</v>
      </c>
      <c r="Q128" s="99">
        <f t="shared" si="19"/>
        <v>-6.7779291553133433E-2</v>
      </c>
    </row>
    <row r="129" spans="1:17" x14ac:dyDescent="0.2">
      <c r="B129" s="477" t="s">
        <v>692</v>
      </c>
      <c r="C129">
        <v>446</v>
      </c>
      <c r="D129">
        <v>446</v>
      </c>
      <c r="E129">
        <v>455</v>
      </c>
      <c r="F129">
        <v>438</v>
      </c>
      <c r="G129">
        <v>434</v>
      </c>
      <c r="H129">
        <v>439</v>
      </c>
      <c r="I129">
        <v>453</v>
      </c>
      <c r="J129">
        <v>443</v>
      </c>
      <c r="K129">
        <v>431</v>
      </c>
      <c r="L129">
        <v>431</v>
      </c>
      <c r="M129">
        <v>450</v>
      </c>
      <c r="N129">
        <v>452</v>
      </c>
      <c r="O129" s="95">
        <f t="shared" si="17"/>
        <v>443.16666666666669</v>
      </c>
      <c r="P129" s="95">
        <f t="shared" si="20"/>
        <v>-13</v>
      </c>
      <c r="Q129" s="99">
        <f t="shared" si="19"/>
        <v>-2.8498355864084762E-2</v>
      </c>
    </row>
    <row r="130" spans="1:17" x14ac:dyDescent="0.2">
      <c r="B130" s="477" t="s">
        <v>700</v>
      </c>
      <c r="C130">
        <v>457</v>
      </c>
      <c r="D130">
        <v>453</v>
      </c>
      <c r="E130">
        <v>448</v>
      </c>
      <c r="F130">
        <v>445</v>
      </c>
      <c r="G130">
        <v>439</v>
      </c>
      <c r="H130">
        <v>435</v>
      </c>
      <c r="I130">
        <v>445</v>
      </c>
      <c r="J130">
        <v>486</v>
      </c>
      <c r="K130">
        <v>436</v>
      </c>
      <c r="L130">
        <v>441</v>
      </c>
      <c r="M130">
        <v>439</v>
      </c>
      <c r="N130">
        <v>448</v>
      </c>
      <c r="O130" s="95">
        <f t="shared" si="17"/>
        <v>447.66666666666669</v>
      </c>
      <c r="P130" s="95">
        <f>SUM(O130-O129)</f>
        <v>4.5</v>
      </c>
      <c r="Q130" s="99">
        <f>SUM(P130/O129)</f>
        <v>1.0154193305754042E-2</v>
      </c>
    </row>
    <row r="131" spans="1:17" x14ac:dyDescent="0.2">
      <c r="B131" s="477" t="s">
        <v>737</v>
      </c>
      <c r="C131">
        <v>450</v>
      </c>
      <c r="D131">
        <v>439</v>
      </c>
      <c r="E131">
        <v>434</v>
      </c>
      <c r="F131">
        <v>429</v>
      </c>
      <c r="G131">
        <v>426</v>
      </c>
      <c r="H131">
        <v>408</v>
      </c>
      <c r="I131">
        <v>406</v>
      </c>
      <c r="J131">
        <v>418</v>
      </c>
      <c r="K131">
        <v>425</v>
      </c>
      <c r="L131">
        <v>430</v>
      </c>
      <c r="M131">
        <v>424</v>
      </c>
      <c r="N131">
        <v>419</v>
      </c>
      <c r="O131" s="95">
        <f t="shared" si="17"/>
        <v>425.66666666666669</v>
      </c>
      <c r="P131" s="95">
        <f>SUM(O131-O130)</f>
        <v>-22</v>
      </c>
      <c r="Q131" s="99">
        <f>SUM(P131/O130)</f>
        <v>-4.9143708116157855E-2</v>
      </c>
    </row>
    <row r="132" spans="1:17" x14ac:dyDescent="0.2">
      <c r="B132" s="477" t="s">
        <v>792</v>
      </c>
      <c r="C132">
        <v>420</v>
      </c>
      <c r="D132">
        <v>415</v>
      </c>
      <c r="E132">
        <v>422</v>
      </c>
      <c r="F132">
        <v>427</v>
      </c>
      <c r="G132">
        <v>422</v>
      </c>
      <c r="H132">
        <v>425</v>
      </c>
      <c r="I132">
        <v>423</v>
      </c>
      <c r="J132">
        <v>419</v>
      </c>
      <c r="K132">
        <v>426</v>
      </c>
      <c r="L132">
        <v>436</v>
      </c>
      <c r="M132">
        <v>453</v>
      </c>
      <c r="N132">
        <v>495</v>
      </c>
      <c r="O132" s="95">
        <f t="shared" si="17"/>
        <v>431.91666666666669</v>
      </c>
      <c r="P132" s="95">
        <f>SUM(O132-O131)</f>
        <v>6.25</v>
      </c>
      <c r="Q132" s="99">
        <f>SUM(P132/O131)</f>
        <v>1.4682850430696946E-2</v>
      </c>
    </row>
    <row r="133" spans="1:17" x14ac:dyDescent="0.2">
      <c r="B133" s="477" t="s">
        <v>959</v>
      </c>
      <c r="C133">
        <v>495</v>
      </c>
      <c r="D133">
        <v>540</v>
      </c>
      <c r="E133">
        <v>548</v>
      </c>
      <c r="F133">
        <v>551</v>
      </c>
      <c r="G133">
        <v>549</v>
      </c>
      <c r="H133">
        <v>552</v>
      </c>
      <c r="I133">
        <v>574</v>
      </c>
      <c r="J133">
        <v>590</v>
      </c>
      <c r="K133">
        <v>577</v>
      </c>
      <c r="L133">
        <v>559</v>
      </c>
      <c r="M133">
        <v>553</v>
      </c>
      <c r="N133">
        <v>550</v>
      </c>
      <c r="O133" s="95">
        <f t="shared" si="17"/>
        <v>553.16666666666663</v>
      </c>
      <c r="P133" s="95">
        <f>SUM(O133-O132)</f>
        <v>121.24999999999994</v>
      </c>
      <c r="Q133" s="99">
        <f>SUM(P133/O132)</f>
        <v>0.28072544858190224</v>
      </c>
    </row>
    <row r="134" spans="1:17" ht="38.25" x14ac:dyDescent="0.2">
      <c r="A134" s="97" t="s">
        <v>329</v>
      </c>
      <c r="B134" s="98" t="s">
        <v>304</v>
      </c>
      <c r="C134" s="100" t="s">
        <v>305</v>
      </c>
      <c r="D134" s="100" t="s">
        <v>306</v>
      </c>
      <c r="E134" s="100" t="s">
        <v>307</v>
      </c>
      <c r="F134" s="100" t="s">
        <v>308</v>
      </c>
      <c r="G134" s="100" t="s">
        <v>309</v>
      </c>
      <c r="H134" s="100" t="s">
        <v>310</v>
      </c>
      <c r="I134" s="100" t="s">
        <v>311</v>
      </c>
      <c r="J134" s="100" t="s">
        <v>312</v>
      </c>
      <c r="K134" s="100" t="s">
        <v>313</v>
      </c>
      <c r="L134" s="100" t="s">
        <v>314</v>
      </c>
      <c r="M134" s="100" t="s">
        <v>315</v>
      </c>
      <c r="N134" s="100" t="s">
        <v>316</v>
      </c>
    </row>
    <row r="135" spans="1:17" x14ac:dyDescent="0.2">
      <c r="B135" t="s">
        <v>320</v>
      </c>
      <c r="C135">
        <v>227</v>
      </c>
      <c r="D135">
        <v>238</v>
      </c>
      <c r="E135">
        <v>241</v>
      </c>
      <c r="F135">
        <v>237</v>
      </c>
      <c r="G135">
        <v>237</v>
      </c>
      <c r="H135">
        <v>245</v>
      </c>
      <c r="I135">
        <v>239</v>
      </c>
      <c r="J135">
        <v>232</v>
      </c>
      <c r="K135">
        <v>228</v>
      </c>
      <c r="L135">
        <v>226</v>
      </c>
      <c r="M135">
        <v>226</v>
      </c>
      <c r="N135">
        <v>238</v>
      </c>
      <c r="O135" s="95">
        <f t="shared" ref="O135:O159" si="21">SUM(C135:N135)/12</f>
        <v>234.5</v>
      </c>
      <c r="P135" s="95"/>
    </row>
    <row r="136" spans="1:17" x14ac:dyDescent="0.2">
      <c r="B136" t="s">
        <v>321</v>
      </c>
      <c r="C136">
        <v>227</v>
      </c>
      <c r="D136">
        <v>234</v>
      </c>
      <c r="E136">
        <v>235</v>
      </c>
      <c r="F136">
        <v>220</v>
      </c>
      <c r="G136">
        <v>231</v>
      </c>
      <c r="H136">
        <v>222</v>
      </c>
      <c r="I136">
        <v>209</v>
      </c>
      <c r="J136">
        <v>216</v>
      </c>
      <c r="K136">
        <v>219</v>
      </c>
      <c r="L136">
        <v>212</v>
      </c>
      <c r="M136">
        <v>211</v>
      </c>
      <c r="N136">
        <v>211</v>
      </c>
      <c r="O136" s="95">
        <f t="shared" si="21"/>
        <v>220.58333333333334</v>
      </c>
      <c r="P136" s="95">
        <f t="shared" ref="P136:P149" si="22">SUM(O136-O135)</f>
        <v>-13.916666666666657</v>
      </c>
      <c r="Q136" s="99">
        <f t="shared" ref="Q136:Q156" si="23">SUM(P136/O135)</f>
        <v>-5.9346126510305575E-2</v>
      </c>
    </row>
    <row r="137" spans="1:17" x14ac:dyDescent="0.2">
      <c r="B137" t="s">
        <v>322</v>
      </c>
      <c r="C137">
        <v>210</v>
      </c>
      <c r="D137">
        <v>212</v>
      </c>
      <c r="E137">
        <v>205</v>
      </c>
      <c r="F137">
        <v>205</v>
      </c>
      <c r="G137">
        <v>220</v>
      </c>
      <c r="H137">
        <v>221</v>
      </c>
      <c r="I137">
        <v>223</v>
      </c>
      <c r="J137">
        <v>227</v>
      </c>
      <c r="K137">
        <v>230</v>
      </c>
      <c r="L137">
        <v>204</v>
      </c>
      <c r="M137">
        <v>178</v>
      </c>
      <c r="N137">
        <v>152</v>
      </c>
      <c r="O137" s="95">
        <f t="shared" si="21"/>
        <v>207.25</v>
      </c>
      <c r="P137" s="95">
        <f t="shared" si="22"/>
        <v>-13.333333333333343</v>
      </c>
      <c r="Q137" s="99">
        <f t="shared" si="23"/>
        <v>-6.0445787684170797E-2</v>
      </c>
    </row>
    <row r="138" spans="1:17" x14ac:dyDescent="0.2">
      <c r="B138" t="s">
        <v>226</v>
      </c>
      <c r="C138">
        <v>257</v>
      </c>
      <c r="D138">
        <v>269</v>
      </c>
      <c r="E138">
        <v>265</v>
      </c>
      <c r="F138">
        <v>244</v>
      </c>
      <c r="G138">
        <v>244</v>
      </c>
      <c r="H138">
        <v>244</v>
      </c>
      <c r="I138">
        <v>244</v>
      </c>
      <c r="J138">
        <v>244</v>
      </c>
      <c r="K138">
        <v>244</v>
      </c>
      <c r="L138">
        <v>244</v>
      </c>
      <c r="M138">
        <v>244</v>
      </c>
      <c r="N138">
        <v>244</v>
      </c>
      <c r="O138" s="95">
        <f t="shared" si="21"/>
        <v>248.91666666666666</v>
      </c>
      <c r="P138" s="95">
        <f t="shared" si="22"/>
        <v>41.666666666666657</v>
      </c>
      <c r="Q138" s="99">
        <f t="shared" si="23"/>
        <v>0.20104543626859667</v>
      </c>
    </row>
    <row r="139" spans="1:17" x14ac:dyDescent="0.2">
      <c r="B139" t="s">
        <v>225</v>
      </c>
      <c r="C139">
        <v>239</v>
      </c>
      <c r="D139">
        <v>224</v>
      </c>
      <c r="E139">
        <v>226</v>
      </c>
      <c r="F139">
        <v>219</v>
      </c>
      <c r="G139">
        <v>227</v>
      </c>
      <c r="H139">
        <v>220</v>
      </c>
      <c r="I139">
        <v>214</v>
      </c>
      <c r="J139">
        <v>214</v>
      </c>
      <c r="K139">
        <v>205</v>
      </c>
      <c r="L139">
        <v>216</v>
      </c>
      <c r="M139">
        <v>210</v>
      </c>
      <c r="N139">
        <v>213</v>
      </c>
      <c r="O139" s="95">
        <f t="shared" si="21"/>
        <v>218.91666666666666</v>
      </c>
      <c r="P139" s="95">
        <f t="shared" si="22"/>
        <v>-30</v>
      </c>
      <c r="Q139" s="99">
        <f t="shared" si="23"/>
        <v>-0.12052226314027453</v>
      </c>
    </row>
    <row r="140" spans="1:17" x14ac:dyDescent="0.2">
      <c r="B140" t="s">
        <v>230</v>
      </c>
      <c r="C140">
        <v>214</v>
      </c>
      <c r="D140">
        <v>211</v>
      </c>
      <c r="E140">
        <v>207</v>
      </c>
      <c r="F140">
        <v>229</v>
      </c>
      <c r="G140">
        <v>243</v>
      </c>
      <c r="H140">
        <v>240</v>
      </c>
      <c r="I140">
        <v>243</v>
      </c>
      <c r="J140">
        <v>245</v>
      </c>
      <c r="K140">
        <v>245</v>
      </c>
      <c r="L140">
        <v>259</v>
      </c>
      <c r="M140">
        <v>261</v>
      </c>
      <c r="N140">
        <v>263</v>
      </c>
      <c r="O140" s="95">
        <f t="shared" si="21"/>
        <v>238.33333333333334</v>
      </c>
      <c r="P140" s="95">
        <f t="shared" si="22"/>
        <v>19.416666666666686</v>
      </c>
      <c r="Q140" s="99">
        <f t="shared" si="23"/>
        <v>8.8694328130947936E-2</v>
      </c>
    </row>
    <row r="141" spans="1:17" x14ac:dyDescent="0.2">
      <c r="B141" t="s">
        <v>234</v>
      </c>
      <c r="C141">
        <v>264</v>
      </c>
      <c r="D141">
        <v>263</v>
      </c>
      <c r="E141">
        <v>264</v>
      </c>
      <c r="F141">
        <v>259</v>
      </c>
      <c r="G141">
        <v>262</v>
      </c>
      <c r="H141">
        <v>259</v>
      </c>
      <c r="I141">
        <v>244</v>
      </c>
      <c r="J141">
        <v>246</v>
      </c>
      <c r="K141">
        <v>253</v>
      </c>
      <c r="L141">
        <v>249</v>
      </c>
      <c r="M141">
        <v>248</v>
      </c>
      <c r="N141">
        <v>256</v>
      </c>
      <c r="O141" s="95">
        <f t="shared" si="21"/>
        <v>255.58333333333334</v>
      </c>
      <c r="P141" s="95">
        <f t="shared" si="22"/>
        <v>17.25</v>
      </c>
      <c r="Q141" s="99">
        <f t="shared" si="23"/>
        <v>7.237762237762238E-2</v>
      </c>
    </row>
    <row r="142" spans="1:17" x14ac:dyDescent="0.2">
      <c r="B142" t="s">
        <v>235</v>
      </c>
      <c r="C142">
        <v>259</v>
      </c>
      <c r="D142">
        <v>269</v>
      </c>
      <c r="E142">
        <v>262</v>
      </c>
      <c r="F142">
        <v>281</v>
      </c>
      <c r="G142">
        <v>292</v>
      </c>
      <c r="H142">
        <v>287</v>
      </c>
      <c r="I142">
        <v>285</v>
      </c>
      <c r="J142">
        <v>271</v>
      </c>
      <c r="K142">
        <v>263</v>
      </c>
      <c r="L142">
        <v>304</v>
      </c>
      <c r="M142">
        <v>301</v>
      </c>
      <c r="N142">
        <v>256</v>
      </c>
      <c r="O142" s="95">
        <f t="shared" si="21"/>
        <v>277.5</v>
      </c>
      <c r="P142" s="95">
        <f t="shared" si="22"/>
        <v>21.916666666666657</v>
      </c>
      <c r="Q142" s="99">
        <f t="shared" si="23"/>
        <v>8.5751548744701617E-2</v>
      </c>
    </row>
    <row r="143" spans="1:17" x14ac:dyDescent="0.2">
      <c r="B143" t="s">
        <v>236</v>
      </c>
      <c r="C143">
        <v>263</v>
      </c>
      <c r="D143">
        <v>269</v>
      </c>
      <c r="E143">
        <v>260</v>
      </c>
      <c r="F143">
        <v>254</v>
      </c>
      <c r="G143">
        <v>247</v>
      </c>
      <c r="H143">
        <v>251</v>
      </c>
      <c r="I143">
        <v>244</v>
      </c>
      <c r="J143">
        <v>235</v>
      </c>
      <c r="K143">
        <v>233</v>
      </c>
      <c r="L143">
        <v>251</v>
      </c>
      <c r="M143">
        <v>278</v>
      </c>
      <c r="N143">
        <v>279</v>
      </c>
      <c r="O143" s="95">
        <f t="shared" si="21"/>
        <v>255.33333333333334</v>
      </c>
      <c r="P143" s="95">
        <f t="shared" si="22"/>
        <v>-22.166666666666657</v>
      </c>
      <c r="Q143" s="99">
        <f t="shared" si="23"/>
        <v>-7.987987987987985E-2</v>
      </c>
    </row>
    <row r="144" spans="1:17" x14ac:dyDescent="0.2">
      <c r="B144" t="s">
        <v>237</v>
      </c>
      <c r="C144">
        <v>271</v>
      </c>
      <c r="D144">
        <v>264</v>
      </c>
      <c r="E144">
        <v>264</v>
      </c>
      <c r="F144">
        <v>265</v>
      </c>
      <c r="G144">
        <v>260</v>
      </c>
      <c r="H144">
        <v>261</v>
      </c>
      <c r="I144">
        <v>266</v>
      </c>
      <c r="J144">
        <v>257</v>
      </c>
      <c r="K144">
        <v>261</v>
      </c>
      <c r="L144">
        <v>270</v>
      </c>
      <c r="M144">
        <v>273</v>
      </c>
      <c r="N144">
        <v>267</v>
      </c>
      <c r="O144" s="95">
        <f t="shared" si="21"/>
        <v>264.91666666666669</v>
      </c>
      <c r="P144" s="95">
        <f t="shared" si="22"/>
        <v>9.5833333333333428</v>
      </c>
      <c r="Q144" s="99">
        <f t="shared" si="23"/>
        <v>3.7532637075718051E-2</v>
      </c>
    </row>
    <row r="145" spans="1:17" x14ac:dyDescent="0.2">
      <c r="B145" t="s">
        <v>261</v>
      </c>
      <c r="C145">
        <v>267</v>
      </c>
      <c r="D145">
        <v>266</v>
      </c>
      <c r="E145">
        <v>268</v>
      </c>
      <c r="F145">
        <v>273</v>
      </c>
      <c r="G145">
        <v>266</v>
      </c>
      <c r="H145">
        <v>255</v>
      </c>
      <c r="I145">
        <v>256</v>
      </c>
      <c r="J145">
        <v>248</v>
      </c>
      <c r="K145">
        <v>253</v>
      </c>
      <c r="L145">
        <v>255</v>
      </c>
      <c r="M145">
        <v>251</v>
      </c>
      <c r="N145">
        <v>255</v>
      </c>
      <c r="O145" s="95">
        <f t="shared" si="21"/>
        <v>259.41666666666669</v>
      </c>
      <c r="P145" s="95">
        <f t="shared" si="22"/>
        <v>-5.5</v>
      </c>
      <c r="Q145" s="99">
        <f t="shared" si="23"/>
        <v>-2.0761245674740483E-2</v>
      </c>
    </row>
    <row r="146" spans="1:17" x14ac:dyDescent="0.2">
      <c r="B146" t="s">
        <v>280</v>
      </c>
      <c r="C146">
        <v>260</v>
      </c>
      <c r="D146">
        <v>250</v>
      </c>
      <c r="E146">
        <v>251</v>
      </c>
      <c r="F146">
        <v>257</v>
      </c>
      <c r="G146">
        <v>258</v>
      </c>
      <c r="H146">
        <v>252</v>
      </c>
      <c r="I146">
        <v>247</v>
      </c>
      <c r="J146">
        <v>244</v>
      </c>
      <c r="K146">
        <v>299</v>
      </c>
      <c r="L146">
        <v>242</v>
      </c>
      <c r="M146">
        <v>246</v>
      </c>
      <c r="N146">
        <v>247</v>
      </c>
      <c r="O146" s="95">
        <f t="shared" si="21"/>
        <v>254.41666666666666</v>
      </c>
      <c r="P146" s="95">
        <f t="shared" si="22"/>
        <v>-5.0000000000000284</v>
      </c>
      <c r="Q146" s="99">
        <f t="shared" si="23"/>
        <v>-1.9274012206874507E-2</v>
      </c>
    </row>
    <row r="147" spans="1:17" x14ac:dyDescent="0.2">
      <c r="B147" t="s">
        <v>323</v>
      </c>
      <c r="C147">
        <v>247</v>
      </c>
      <c r="D147">
        <v>250</v>
      </c>
      <c r="E147">
        <v>259</v>
      </c>
      <c r="F147">
        <v>259</v>
      </c>
      <c r="G147">
        <v>260</v>
      </c>
      <c r="H147">
        <v>269</v>
      </c>
      <c r="I147">
        <v>253</v>
      </c>
      <c r="J147">
        <v>246</v>
      </c>
      <c r="K147">
        <v>259</v>
      </c>
      <c r="L147">
        <v>253</v>
      </c>
      <c r="M147">
        <v>236</v>
      </c>
      <c r="N147">
        <v>227</v>
      </c>
      <c r="O147" s="95">
        <f t="shared" si="21"/>
        <v>251.5</v>
      </c>
      <c r="P147" s="95">
        <f t="shared" si="22"/>
        <v>-2.9166666666666572</v>
      </c>
      <c r="Q147" s="99">
        <f t="shared" si="23"/>
        <v>-1.1464133639043526E-2</v>
      </c>
    </row>
    <row r="148" spans="1:17" x14ac:dyDescent="0.2">
      <c r="B148" t="s">
        <v>348</v>
      </c>
      <c r="C148">
        <v>230</v>
      </c>
      <c r="D148">
        <v>228</v>
      </c>
      <c r="E148">
        <v>245</v>
      </c>
      <c r="F148">
        <v>241</v>
      </c>
      <c r="G148">
        <v>241</v>
      </c>
      <c r="H148">
        <v>233</v>
      </c>
      <c r="I148">
        <v>245</v>
      </c>
      <c r="J148">
        <v>265</v>
      </c>
      <c r="K148">
        <v>258</v>
      </c>
      <c r="L148">
        <v>261</v>
      </c>
      <c r="M148">
        <v>241</v>
      </c>
      <c r="N148">
        <v>231</v>
      </c>
      <c r="O148" s="95">
        <f t="shared" si="21"/>
        <v>243.25</v>
      </c>
      <c r="P148" s="95">
        <f t="shared" si="22"/>
        <v>-8.25</v>
      </c>
      <c r="Q148" s="99">
        <f t="shared" si="23"/>
        <v>-3.2803180914512925E-2</v>
      </c>
    </row>
    <row r="149" spans="1:17" x14ac:dyDescent="0.2">
      <c r="B149" t="s">
        <v>401</v>
      </c>
      <c r="C149">
        <v>265</v>
      </c>
      <c r="D149">
        <v>253</v>
      </c>
      <c r="E149">
        <v>234</v>
      </c>
      <c r="F149">
        <v>254</v>
      </c>
      <c r="G149">
        <v>242</v>
      </c>
      <c r="H149">
        <v>256</v>
      </c>
      <c r="I149">
        <v>262</v>
      </c>
      <c r="J149">
        <v>264</v>
      </c>
      <c r="K149">
        <v>253</v>
      </c>
      <c r="L149">
        <v>262</v>
      </c>
      <c r="M149">
        <v>274</v>
      </c>
      <c r="N149">
        <v>288</v>
      </c>
      <c r="O149" s="95">
        <f t="shared" si="21"/>
        <v>258.91666666666669</v>
      </c>
      <c r="P149" s="95">
        <f t="shared" si="22"/>
        <v>15.666666666666686</v>
      </c>
      <c r="Q149" s="99">
        <f t="shared" si="23"/>
        <v>6.4405618362452968E-2</v>
      </c>
    </row>
    <row r="150" spans="1:17" x14ac:dyDescent="0.2">
      <c r="B150" t="s">
        <v>414</v>
      </c>
      <c r="C150">
        <v>270</v>
      </c>
      <c r="D150">
        <v>256</v>
      </c>
      <c r="E150">
        <v>264</v>
      </c>
      <c r="F150">
        <v>262</v>
      </c>
      <c r="G150">
        <v>273</v>
      </c>
      <c r="H150">
        <v>282</v>
      </c>
      <c r="I150">
        <v>278</v>
      </c>
      <c r="J150">
        <v>289</v>
      </c>
      <c r="K150">
        <v>303</v>
      </c>
      <c r="L150">
        <v>332</v>
      </c>
      <c r="M150">
        <v>335</v>
      </c>
      <c r="N150">
        <v>367</v>
      </c>
      <c r="O150" s="95">
        <f t="shared" si="21"/>
        <v>292.58333333333331</v>
      </c>
      <c r="P150" s="95">
        <f t="shared" ref="P150:P156" si="24">SUM(O150-O149)</f>
        <v>33.666666666666629</v>
      </c>
      <c r="Q150" s="99">
        <f t="shared" si="23"/>
        <v>0.13002896684905038</v>
      </c>
    </row>
    <row r="151" spans="1:17" x14ac:dyDescent="0.2">
      <c r="B151" t="s">
        <v>415</v>
      </c>
      <c r="C151">
        <v>331</v>
      </c>
      <c r="D151">
        <v>343</v>
      </c>
      <c r="E151">
        <v>340</v>
      </c>
      <c r="F151">
        <v>322</v>
      </c>
      <c r="G151">
        <v>332</v>
      </c>
      <c r="H151">
        <v>340</v>
      </c>
      <c r="I151">
        <v>347</v>
      </c>
      <c r="J151">
        <v>325</v>
      </c>
      <c r="K151">
        <v>319</v>
      </c>
      <c r="L151">
        <v>275</v>
      </c>
      <c r="M151">
        <v>268</v>
      </c>
      <c r="N151">
        <v>268</v>
      </c>
      <c r="O151" s="95">
        <f t="shared" si="21"/>
        <v>317.5</v>
      </c>
      <c r="P151" s="95">
        <f t="shared" si="24"/>
        <v>24.916666666666686</v>
      </c>
      <c r="Q151" s="99">
        <f t="shared" si="23"/>
        <v>8.5160922814013176E-2</v>
      </c>
    </row>
    <row r="152" spans="1:17" x14ac:dyDescent="0.2">
      <c r="B152" t="s">
        <v>626</v>
      </c>
      <c r="C152">
        <v>283</v>
      </c>
      <c r="D152">
        <v>280</v>
      </c>
      <c r="E152">
        <v>263</v>
      </c>
      <c r="F152">
        <v>262</v>
      </c>
      <c r="G152">
        <v>269</v>
      </c>
      <c r="H152">
        <v>266</v>
      </c>
      <c r="I152">
        <v>269</v>
      </c>
      <c r="J152">
        <v>261</v>
      </c>
      <c r="K152">
        <v>249</v>
      </c>
      <c r="L152">
        <v>248</v>
      </c>
      <c r="M152">
        <v>241</v>
      </c>
      <c r="N152">
        <v>237</v>
      </c>
      <c r="O152" s="95">
        <f t="shared" si="21"/>
        <v>260.66666666666669</v>
      </c>
      <c r="P152" s="95">
        <f t="shared" si="24"/>
        <v>-56.833333333333314</v>
      </c>
      <c r="Q152" s="99">
        <f t="shared" si="23"/>
        <v>-0.17900262467191594</v>
      </c>
    </row>
    <row r="153" spans="1:17" x14ac:dyDescent="0.2">
      <c r="B153" t="s">
        <v>627</v>
      </c>
      <c r="C153">
        <v>231</v>
      </c>
      <c r="D153">
        <v>219</v>
      </c>
      <c r="E153">
        <v>200</v>
      </c>
      <c r="F153">
        <v>182</v>
      </c>
      <c r="G153">
        <v>179</v>
      </c>
      <c r="H153">
        <v>185</v>
      </c>
      <c r="I153">
        <v>175</v>
      </c>
      <c r="J153">
        <v>174</v>
      </c>
      <c r="K153">
        <v>178</v>
      </c>
      <c r="L153">
        <v>204</v>
      </c>
      <c r="M153">
        <v>186</v>
      </c>
      <c r="N153">
        <v>188</v>
      </c>
      <c r="O153" s="95">
        <f t="shared" si="21"/>
        <v>191.75</v>
      </c>
      <c r="P153" s="95">
        <f t="shared" si="24"/>
        <v>-68.916666666666686</v>
      </c>
      <c r="Q153" s="99">
        <f t="shared" si="23"/>
        <v>-0.26438618925831209</v>
      </c>
    </row>
    <row r="154" spans="1:17" x14ac:dyDescent="0.2">
      <c r="B154" t="s">
        <v>674</v>
      </c>
      <c r="C154">
        <v>192</v>
      </c>
      <c r="D154">
        <v>185</v>
      </c>
      <c r="E154">
        <v>182</v>
      </c>
      <c r="F154">
        <v>184</v>
      </c>
      <c r="G154">
        <v>166</v>
      </c>
      <c r="H154">
        <v>159</v>
      </c>
      <c r="I154">
        <v>158</v>
      </c>
      <c r="J154">
        <v>160</v>
      </c>
      <c r="K154">
        <v>158</v>
      </c>
      <c r="L154">
        <v>148</v>
      </c>
      <c r="M154">
        <v>217</v>
      </c>
      <c r="N154">
        <v>151</v>
      </c>
      <c r="O154" s="95">
        <f t="shared" si="21"/>
        <v>171.66666666666666</v>
      </c>
      <c r="P154" s="95">
        <f t="shared" si="24"/>
        <v>-20.083333333333343</v>
      </c>
      <c r="Q154" s="99">
        <f t="shared" si="23"/>
        <v>-0.10473707083876581</v>
      </c>
    </row>
    <row r="155" spans="1:17" x14ac:dyDescent="0.2">
      <c r="B155" s="477" t="s">
        <v>692</v>
      </c>
      <c r="C155">
        <v>141</v>
      </c>
      <c r="D155">
        <v>138</v>
      </c>
      <c r="E155">
        <v>145</v>
      </c>
      <c r="F155">
        <v>139</v>
      </c>
      <c r="G155">
        <v>137</v>
      </c>
      <c r="H155">
        <v>138</v>
      </c>
      <c r="I155">
        <v>136</v>
      </c>
      <c r="J155">
        <v>130</v>
      </c>
      <c r="K155">
        <v>141</v>
      </c>
      <c r="L155">
        <v>139</v>
      </c>
      <c r="M155">
        <v>136</v>
      </c>
      <c r="N155">
        <v>136</v>
      </c>
      <c r="O155" s="95">
        <f t="shared" si="21"/>
        <v>138</v>
      </c>
      <c r="P155" s="95">
        <f t="shared" si="24"/>
        <v>-33.666666666666657</v>
      </c>
      <c r="Q155" s="99">
        <f t="shared" si="23"/>
        <v>-0.19611650485436888</v>
      </c>
    </row>
    <row r="156" spans="1:17" x14ac:dyDescent="0.2">
      <c r="B156" s="477" t="s">
        <v>700</v>
      </c>
      <c r="C156">
        <v>138</v>
      </c>
      <c r="D156">
        <v>139</v>
      </c>
      <c r="E156">
        <v>132</v>
      </c>
      <c r="F156">
        <v>126</v>
      </c>
      <c r="G156">
        <v>140</v>
      </c>
      <c r="H156">
        <v>130</v>
      </c>
      <c r="I156">
        <v>140</v>
      </c>
      <c r="J156">
        <v>149</v>
      </c>
      <c r="K156">
        <v>141</v>
      </c>
      <c r="L156">
        <v>147</v>
      </c>
      <c r="M156">
        <v>155</v>
      </c>
      <c r="N156">
        <v>157</v>
      </c>
      <c r="O156" s="95">
        <f t="shared" si="21"/>
        <v>141.16666666666666</v>
      </c>
      <c r="P156" s="95">
        <f t="shared" si="24"/>
        <v>3.1666666666666572</v>
      </c>
      <c r="Q156" s="99">
        <f t="shared" si="23"/>
        <v>2.2946859903381574E-2</v>
      </c>
    </row>
    <row r="157" spans="1:17" x14ac:dyDescent="0.2">
      <c r="B157" s="477" t="s">
        <v>737</v>
      </c>
      <c r="C157">
        <v>161</v>
      </c>
      <c r="D157">
        <v>166</v>
      </c>
      <c r="E157">
        <v>166</v>
      </c>
      <c r="F157">
        <v>172</v>
      </c>
      <c r="G157">
        <v>168</v>
      </c>
      <c r="H157">
        <v>168</v>
      </c>
      <c r="I157">
        <v>172</v>
      </c>
      <c r="J157">
        <v>170</v>
      </c>
      <c r="K157">
        <v>162</v>
      </c>
      <c r="L157">
        <v>159</v>
      </c>
      <c r="M157">
        <v>159</v>
      </c>
      <c r="N157">
        <v>171</v>
      </c>
      <c r="O157" s="95">
        <f t="shared" si="21"/>
        <v>166.16666666666666</v>
      </c>
      <c r="P157" s="95">
        <f>SUM(O157-O156)</f>
        <v>25</v>
      </c>
      <c r="Q157" s="99">
        <f>SUM(P157/O156)</f>
        <v>0.17709563164108619</v>
      </c>
    </row>
    <row r="158" spans="1:17" x14ac:dyDescent="0.2">
      <c r="B158" s="477" t="s">
        <v>792</v>
      </c>
      <c r="C158">
        <v>177</v>
      </c>
      <c r="D158">
        <v>179</v>
      </c>
      <c r="E158">
        <v>186</v>
      </c>
      <c r="F158">
        <v>201</v>
      </c>
      <c r="G158">
        <v>203</v>
      </c>
      <c r="H158">
        <v>207</v>
      </c>
      <c r="I158">
        <v>206</v>
      </c>
      <c r="J158">
        <v>186</v>
      </c>
      <c r="K158">
        <v>188</v>
      </c>
      <c r="L158">
        <v>196</v>
      </c>
      <c r="M158">
        <v>183</v>
      </c>
      <c r="N158">
        <v>196</v>
      </c>
      <c r="O158" s="95">
        <f t="shared" si="21"/>
        <v>192.33333333333334</v>
      </c>
      <c r="P158" s="95">
        <f>SUM(O158-O157)</f>
        <v>26.166666666666686</v>
      </c>
      <c r="Q158" s="99">
        <f>SUM(P158/O157)</f>
        <v>0.1574724172517554</v>
      </c>
    </row>
    <row r="159" spans="1:17" x14ac:dyDescent="0.2">
      <c r="B159" s="477" t="s">
        <v>959</v>
      </c>
      <c r="C159">
        <v>206</v>
      </c>
      <c r="D159">
        <v>201</v>
      </c>
      <c r="E159">
        <v>199</v>
      </c>
      <c r="F159">
        <v>194</v>
      </c>
      <c r="G159">
        <v>189</v>
      </c>
      <c r="H159">
        <v>192</v>
      </c>
      <c r="I159">
        <v>195</v>
      </c>
      <c r="J159">
        <v>196</v>
      </c>
      <c r="K159">
        <v>191</v>
      </c>
      <c r="L159">
        <v>187</v>
      </c>
      <c r="M159">
        <v>187</v>
      </c>
      <c r="N159">
        <v>189</v>
      </c>
      <c r="O159" s="95">
        <f t="shared" si="21"/>
        <v>193.83333333333334</v>
      </c>
      <c r="P159" s="95">
        <f>SUM(O159-O158)</f>
        <v>1.5</v>
      </c>
      <c r="Q159" s="99">
        <f>SUM(P159/O158)</f>
        <v>7.7989601386481795E-3</v>
      </c>
    </row>
    <row r="160" spans="1:17" x14ac:dyDescent="0.2">
      <c r="A160" s="381"/>
      <c r="B160" s="381"/>
      <c r="C160" s="381"/>
      <c r="D160" s="381"/>
      <c r="E160" s="381"/>
      <c r="F160" s="381"/>
      <c r="G160" s="381"/>
      <c r="H160" s="381"/>
      <c r="I160" s="381"/>
      <c r="J160" s="381"/>
      <c r="K160" s="381"/>
      <c r="L160" s="381"/>
      <c r="M160" s="381"/>
      <c r="N160" s="381"/>
      <c r="O160" s="381"/>
      <c r="P160" s="381"/>
      <c r="Q160" s="381"/>
    </row>
    <row r="161" spans="1:17" ht="38.25" x14ac:dyDescent="0.2">
      <c r="A161" s="97" t="s">
        <v>330</v>
      </c>
      <c r="B161" s="98" t="s">
        <v>304</v>
      </c>
      <c r="C161" s="100" t="s">
        <v>305</v>
      </c>
      <c r="D161" s="100" t="s">
        <v>306</v>
      </c>
      <c r="E161" s="100" t="s">
        <v>307</v>
      </c>
      <c r="F161" s="100" t="s">
        <v>308</v>
      </c>
      <c r="G161" s="100" t="s">
        <v>309</v>
      </c>
      <c r="H161" s="100" t="s">
        <v>310</v>
      </c>
      <c r="I161" s="100" t="s">
        <v>311</v>
      </c>
      <c r="J161" s="100" t="s">
        <v>312</v>
      </c>
      <c r="K161" s="100" t="s">
        <v>313</v>
      </c>
      <c r="L161" s="100" t="s">
        <v>314</v>
      </c>
      <c r="M161" s="100" t="s">
        <v>315</v>
      </c>
      <c r="N161" s="100" t="s">
        <v>316</v>
      </c>
    </row>
    <row r="162" spans="1:17" x14ac:dyDescent="0.2">
      <c r="B162" t="s">
        <v>320</v>
      </c>
      <c r="C162">
        <v>204</v>
      </c>
      <c r="D162">
        <v>210</v>
      </c>
      <c r="E162">
        <v>215</v>
      </c>
      <c r="F162">
        <v>213</v>
      </c>
      <c r="G162">
        <v>212</v>
      </c>
      <c r="H162">
        <v>207</v>
      </c>
      <c r="I162">
        <v>200</v>
      </c>
      <c r="J162">
        <v>199</v>
      </c>
      <c r="K162">
        <v>192</v>
      </c>
      <c r="L162">
        <v>192</v>
      </c>
      <c r="M162">
        <v>181</v>
      </c>
      <c r="N162">
        <v>189</v>
      </c>
      <c r="O162" s="95">
        <f t="shared" ref="O162:O186" si="25">SUM(C162:N162)/12</f>
        <v>201.16666666666666</v>
      </c>
      <c r="P162" s="95"/>
    </row>
    <row r="163" spans="1:17" x14ac:dyDescent="0.2">
      <c r="B163" t="s">
        <v>321</v>
      </c>
      <c r="C163">
        <v>191</v>
      </c>
      <c r="D163">
        <v>194</v>
      </c>
      <c r="E163">
        <v>194</v>
      </c>
      <c r="F163">
        <v>191</v>
      </c>
      <c r="G163">
        <v>191</v>
      </c>
      <c r="H163">
        <v>198</v>
      </c>
      <c r="I163">
        <v>185</v>
      </c>
      <c r="J163">
        <v>192</v>
      </c>
      <c r="K163">
        <v>188</v>
      </c>
      <c r="L163">
        <v>198</v>
      </c>
      <c r="M163">
        <v>203</v>
      </c>
      <c r="N163">
        <v>203</v>
      </c>
      <c r="O163" s="95">
        <f t="shared" si="25"/>
        <v>194</v>
      </c>
      <c r="P163" s="95">
        <f t="shared" ref="P163:P176" si="26">SUM(O163-O162)</f>
        <v>-7.1666666666666572</v>
      </c>
      <c r="Q163" s="99">
        <f t="shared" ref="Q163:Q183" si="27">SUM(P163/O162)</f>
        <v>-3.5625517812758863E-2</v>
      </c>
    </row>
    <row r="164" spans="1:17" x14ac:dyDescent="0.2">
      <c r="B164" t="s">
        <v>322</v>
      </c>
      <c r="C164">
        <v>201</v>
      </c>
      <c r="D164">
        <v>196</v>
      </c>
      <c r="E164">
        <v>198</v>
      </c>
      <c r="F164">
        <v>188</v>
      </c>
      <c r="G164">
        <v>188</v>
      </c>
      <c r="H164">
        <v>192</v>
      </c>
      <c r="I164">
        <v>189</v>
      </c>
      <c r="J164">
        <v>200</v>
      </c>
      <c r="K164">
        <v>219</v>
      </c>
      <c r="L164">
        <v>228</v>
      </c>
      <c r="M164">
        <v>234</v>
      </c>
      <c r="N164">
        <v>237</v>
      </c>
      <c r="O164" s="95">
        <f t="shared" si="25"/>
        <v>205.83333333333334</v>
      </c>
      <c r="P164" s="95">
        <f t="shared" si="26"/>
        <v>11.833333333333343</v>
      </c>
      <c r="Q164" s="99">
        <f t="shared" si="27"/>
        <v>6.0996563573883208E-2</v>
      </c>
    </row>
    <row r="165" spans="1:17" x14ac:dyDescent="0.2">
      <c r="B165" t="s">
        <v>226</v>
      </c>
      <c r="C165">
        <v>246</v>
      </c>
      <c r="D165">
        <v>242</v>
      </c>
      <c r="E165">
        <v>245</v>
      </c>
      <c r="F165">
        <v>245</v>
      </c>
      <c r="G165">
        <v>245</v>
      </c>
      <c r="H165">
        <v>245</v>
      </c>
      <c r="I165">
        <v>245</v>
      </c>
      <c r="J165">
        <v>245</v>
      </c>
      <c r="K165">
        <v>245</v>
      </c>
      <c r="L165">
        <v>245</v>
      </c>
      <c r="M165">
        <v>245</v>
      </c>
      <c r="N165">
        <v>245</v>
      </c>
      <c r="O165" s="95">
        <f t="shared" si="25"/>
        <v>244.83333333333334</v>
      </c>
      <c r="P165" s="95">
        <f t="shared" si="26"/>
        <v>39</v>
      </c>
      <c r="Q165" s="99">
        <f t="shared" si="27"/>
        <v>0.18947368421052629</v>
      </c>
    </row>
    <row r="166" spans="1:17" x14ac:dyDescent="0.2">
      <c r="B166" t="s">
        <v>225</v>
      </c>
      <c r="C166">
        <v>219</v>
      </c>
      <c r="D166">
        <v>239</v>
      </c>
      <c r="E166">
        <v>239</v>
      </c>
      <c r="F166">
        <v>242</v>
      </c>
      <c r="G166">
        <v>237</v>
      </c>
      <c r="H166">
        <v>248</v>
      </c>
      <c r="I166">
        <v>255</v>
      </c>
      <c r="J166">
        <v>262</v>
      </c>
      <c r="K166">
        <v>263</v>
      </c>
      <c r="L166">
        <v>274</v>
      </c>
      <c r="M166">
        <v>266</v>
      </c>
      <c r="N166">
        <v>278</v>
      </c>
      <c r="O166" s="95">
        <f t="shared" si="25"/>
        <v>251.83333333333334</v>
      </c>
      <c r="P166" s="95">
        <f t="shared" si="26"/>
        <v>7</v>
      </c>
      <c r="Q166" s="99">
        <f t="shared" si="27"/>
        <v>2.8590878148400271E-2</v>
      </c>
    </row>
    <row r="167" spans="1:17" x14ac:dyDescent="0.2">
      <c r="B167" t="s">
        <v>230</v>
      </c>
      <c r="C167">
        <v>278</v>
      </c>
      <c r="D167">
        <v>279</v>
      </c>
      <c r="E167">
        <v>277</v>
      </c>
      <c r="F167">
        <v>279</v>
      </c>
      <c r="G167">
        <v>282</v>
      </c>
      <c r="H167">
        <v>282</v>
      </c>
      <c r="I167">
        <v>287</v>
      </c>
      <c r="J167">
        <v>293</v>
      </c>
      <c r="K167">
        <v>299</v>
      </c>
      <c r="L167">
        <v>299</v>
      </c>
      <c r="M167">
        <v>316</v>
      </c>
      <c r="N167">
        <v>325</v>
      </c>
      <c r="O167" s="95">
        <f t="shared" si="25"/>
        <v>291.33333333333331</v>
      </c>
      <c r="P167" s="95">
        <f t="shared" si="26"/>
        <v>39.499999999999972</v>
      </c>
      <c r="Q167" s="99">
        <f t="shared" si="27"/>
        <v>0.15684976836532086</v>
      </c>
    </row>
    <row r="168" spans="1:17" x14ac:dyDescent="0.2">
      <c r="B168" t="s">
        <v>234</v>
      </c>
      <c r="C168">
        <v>335</v>
      </c>
      <c r="D168">
        <v>349</v>
      </c>
      <c r="E168">
        <v>352</v>
      </c>
      <c r="F168">
        <v>352</v>
      </c>
      <c r="G168">
        <v>348</v>
      </c>
      <c r="H168">
        <v>363</v>
      </c>
      <c r="I168">
        <v>362</v>
      </c>
      <c r="J168">
        <v>370</v>
      </c>
      <c r="K168">
        <v>376</v>
      </c>
      <c r="L168">
        <v>393</v>
      </c>
      <c r="M168">
        <v>401</v>
      </c>
      <c r="N168">
        <v>400</v>
      </c>
      <c r="O168" s="95">
        <f t="shared" si="25"/>
        <v>366.75</v>
      </c>
      <c r="P168" s="95">
        <f t="shared" si="26"/>
        <v>75.416666666666686</v>
      </c>
      <c r="Q168" s="99">
        <f t="shared" si="27"/>
        <v>0.25886727688787192</v>
      </c>
    </row>
    <row r="169" spans="1:17" x14ac:dyDescent="0.2">
      <c r="B169" t="s">
        <v>235</v>
      </c>
      <c r="C169">
        <v>397</v>
      </c>
      <c r="D169">
        <v>402</v>
      </c>
      <c r="E169">
        <v>398</v>
      </c>
      <c r="F169">
        <v>408</v>
      </c>
      <c r="G169">
        <v>409</v>
      </c>
      <c r="H169">
        <v>416</v>
      </c>
      <c r="I169">
        <v>415</v>
      </c>
      <c r="J169">
        <v>414</v>
      </c>
      <c r="K169">
        <v>405</v>
      </c>
      <c r="L169">
        <v>486</v>
      </c>
      <c r="M169">
        <v>472</v>
      </c>
      <c r="N169">
        <v>409</v>
      </c>
      <c r="O169" s="95">
        <f t="shared" si="25"/>
        <v>419.25</v>
      </c>
      <c r="P169" s="95">
        <f t="shared" si="26"/>
        <v>52.5</v>
      </c>
      <c r="Q169" s="99">
        <f t="shared" si="27"/>
        <v>0.14314928425357873</v>
      </c>
    </row>
    <row r="170" spans="1:17" x14ac:dyDescent="0.2">
      <c r="B170" t="s">
        <v>236</v>
      </c>
      <c r="C170">
        <v>426</v>
      </c>
      <c r="D170">
        <v>431</v>
      </c>
      <c r="E170">
        <v>506</v>
      </c>
      <c r="F170">
        <v>455</v>
      </c>
      <c r="G170">
        <v>489</v>
      </c>
      <c r="H170">
        <v>513</v>
      </c>
      <c r="I170">
        <v>514</v>
      </c>
      <c r="J170">
        <v>518</v>
      </c>
      <c r="K170">
        <v>505</v>
      </c>
      <c r="L170">
        <v>502</v>
      </c>
      <c r="M170">
        <v>516</v>
      </c>
      <c r="N170">
        <v>530</v>
      </c>
      <c r="O170" s="95">
        <f t="shared" si="25"/>
        <v>492.08333333333331</v>
      </c>
      <c r="P170" s="95">
        <f t="shared" si="26"/>
        <v>72.833333333333314</v>
      </c>
      <c r="Q170" s="99">
        <f t="shared" si="27"/>
        <v>0.17372291790896438</v>
      </c>
    </row>
    <row r="171" spans="1:17" x14ac:dyDescent="0.2">
      <c r="B171" t="s">
        <v>237</v>
      </c>
      <c r="C171">
        <v>482</v>
      </c>
      <c r="D171">
        <v>466</v>
      </c>
      <c r="E171">
        <v>463</v>
      </c>
      <c r="F171">
        <v>466</v>
      </c>
      <c r="G171">
        <v>455</v>
      </c>
      <c r="H171">
        <v>458</v>
      </c>
      <c r="I171">
        <v>448</v>
      </c>
      <c r="J171">
        <v>451</v>
      </c>
      <c r="K171">
        <v>454</v>
      </c>
      <c r="L171">
        <v>449</v>
      </c>
      <c r="M171">
        <v>443</v>
      </c>
      <c r="N171">
        <v>447</v>
      </c>
      <c r="O171" s="95">
        <f t="shared" si="25"/>
        <v>456.83333333333331</v>
      </c>
      <c r="P171" s="95">
        <f t="shared" si="26"/>
        <v>-35.25</v>
      </c>
      <c r="Q171" s="99">
        <f t="shared" si="27"/>
        <v>-7.1634208298052504E-2</v>
      </c>
    </row>
    <row r="172" spans="1:17" x14ac:dyDescent="0.2">
      <c r="B172" t="s">
        <v>261</v>
      </c>
      <c r="C172">
        <v>441</v>
      </c>
      <c r="D172">
        <v>439</v>
      </c>
      <c r="E172">
        <v>439</v>
      </c>
      <c r="F172">
        <v>426</v>
      </c>
      <c r="G172">
        <v>432</v>
      </c>
      <c r="H172">
        <v>465</v>
      </c>
      <c r="I172">
        <v>452</v>
      </c>
      <c r="J172">
        <v>441</v>
      </c>
      <c r="K172">
        <v>443</v>
      </c>
      <c r="L172">
        <v>462</v>
      </c>
      <c r="M172">
        <v>480</v>
      </c>
      <c r="N172">
        <v>467</v>
      </c>
      <c r="O172" s="95">
        <f t="shared" si="25"/>
        <v>448.91666666666669</v>
      </c>
      <c r="P172" s="95">
        <f t="shared" si="26"/>
        <v>-7.9166666666666288</v>
      </c>
      <c r="Q172" s="99">
        <f t="shared" si="27"/>
        <v>-1.7329441809558473E-2</v>
      </c>
    </row>
    <row r="173" spans="1:17" x14ac:dyDescent="0.2">
      <c r="B173" t="s">
        <v>280</v>
      </c>
      <c r="C173">
        <v>465</v>
      </c>
      <c r="D173">
        <v>456</v>
      </c>
      <c r="E173">
        <v>455</v>
      </c>
      <c r="F173">
        <v>464</v>
      </c>
      <c r="G173">
        <v>461</v>
      </c>
      <c r="H173">
        <v>470</v>
      </c>
      <c r="I173">
        <v>443</v>
      </c>
      <c r="J173">
        <v>469</v>
      </c>
      <c r="K173">
        <v>478</v>
      </c>
      <c r="L173">
        <v>471</v>
      </c>
      <c r="M173">
        <v>457</v>
      </c>
      <c r="N173">
        <v>468</v>
      </c>
      <c r="O173" s="95">
        <f t="shared" si="25"/>
        <v>463.08333333333331</v>
      </c>
      <c r="P173" s="95">
        <f t="shared" si="26"/>
        <v>14.166666666666629</v>
      </c>
      <c r="Q173" s="99">
        <f t="shared" si="27"/>
        <v>3.1557453127900419E-2</v>
      </c>
    </row>
    <row r="174" spans="1:17" x14ac:dyDescent="0.2">
      <c r="B174" t="s">
        <v>323</v>
      </c>
      <c r="C174">
        <v>486</v>
      </c>
      <c r="D174">
        <v>496</v>
      </c>
      <c r="E174">
        <v>489</v>
      </c>
      <c r="F174">
        <v>495</v>
      </c>
      <c r="G174">
        <v>495</v>
      </c>
      <c r="H174">
        <v>495</v>
      </c>
      <c r="I174">
        <v>495</v>
      </c>
      <c r="J174">
        <v>500</v>
      </c>
      <c r="K174">
        <v>502</v>
      </c>
      <c r="L174">
        <v>508</v>
      </c>
      <c r="M174">
        <v>497</v>
      </c>
      <c r="N174">
        <v>504</v>
      </c>
      <c r="O174" s="95">
        <f t="shared" si="25"/>
        <v>496.83333333333331</v>
      </c>
      <c r="P174" s="95">
        <f t="shared" si="26"/>
        <v>33.75</v>
      </c>
      <c r="Q174" s="99">
        <f t="shared" si="27"/>
        <v>7.2881050926759047E-2</v>
      </c>
    </row>
    <row r="175" spans="1:17" x14ac:dyDescent="0.2">
      <c r="B175" t="s">
        <v>348</v>
      </c>
      <c r="C175">
        <v>496</v>
      </c>
      <c r="D175">
        <v>494</v>
      </c>
      <c r="E175">
        <v>478</v>
      </c>
      <c r="F175">
        <v>497</v>
      </c>
      <c r="G175">
        <v>499</v>
      </c>
      <c r="H175">
        <v>494</v>
      </c>
      <c r="I175">
        <v>489</v>
      </c>
      <c r="J175">
        <v>495</v>
      </c>
      <c r="K175">
        <v>490</v>
      </c>
      <c r="L175">
        <v>488</v>
      </c>
      <c r="M175">
        <v>497</v>
      </c>
      <c r="N175">
        <v>488</v>
      </c>
      <c r="O175" s="95">
        <f t="shared" si="25"/>
        <v>492.08333333333331</v>
      </c>
      <c r="P175" s="95">
        <f t="shared" si="26"/>
        <v>-4.75</v>
      </c>
      <c r="Q175" s="99">
        <f t="shared" si="27"/>
        <v>-9.5605501509560559E-3</v>
      </c>
    </row>
    <row r="176" spans="1:17" x14ac:dyDescent="0.2">
      <c r="B176" t="s">
        <v>401</v>
      </c>
      <c r="C176">
        <v>487</v>
      </c>
      <c r="D176">
        <v>474</v>
      </c>
      <c r="E176">
        <v>466</v>
      </c>
      <c r="F176">
        <v>470</v>
      </c>
      <c r="G176">
        <v>464</v>
      </c>
      <c r="H176">
        <v>474</v>
      </c>
      <c r="I176">
        <v>469</v>
      </c>
      <c r="J176">
        <v>478</v>
      </c>
      <c r="K176">
        <v>472</v>
      </c>
      <c r="L176">
        <v>468</v>
      </c>
      <c r="M176">
        <v>474</v>
      </c>
      <c r="N176">
        <v>471</v>
      </c>
      <c r="O176" s="95">
        <f t="shared" si="25"/>
        <v>472.25</v>
      </c>
      <c r="P176" s="95">
        <f t="shared" si="26"/>
        <v>-19.833333333333314</v>
      </c>
      <c r="Q176" s="99">
        <f t="shared" si="27"/>
        <v>-4.0304826418289551E-2</v>
      </c>
    </row>
    <row r="177" spans="1:18" x14ac:dyDescent="0.2">
      <c r="B177" t="s">
        <v>414</v>
      </c>
      <c r="C177">
        <v>468</v>
      </c>
      <c r="D177">
        <v>469</v>
      </c>
      <c r="E177">
        <v>451</v>
      </c>
      <c r="F177">
        <v>438</v>
      </c>
      <c r="G177">
        <v>433</v>
      </c>
      <c r="H177">
        <v>425</v>
      </c>
      <c r="I177">
        <v>420</v>
      </c>
      <c r="J177">
        <v>419</v>
      </c>
      <c r="K177">
        <v>418</v>
      </c>
      <c r="L177">
        <v>421</v>
      </c>
      <c r="M177">
        <v>413</v>
      </c>
      <c r="N177">
        <v>411</v>
      </c>
      <c r="O177" s="95">
        <f t="shared" si="25"/>
        <v>432.16666666666669</v>
      </c>
      <c r="P177" s="95">
        <f t="shared" ref="P177:P183" si="28">SUM(O177-O176)</f>
        <v>-40.083333333333314</v>
      </c>
      <c r="Q177" s="99">
        <f t="shared" si="27"/>
        <v>-8.4877360155284937E-2</v>
      </c>
    </row>
    <row r="178" spans="1:18" x14ac:dyDescent="0.2">
      <c r="B178" t="s">
        <v>415</v>
      </c>
      <c r="C178">
        <v>402</v>
      </c>
      <c r="D178">
        <v>427</v>
      </c>
      <c r="E178">
        <v>427</v>
      </c>
      <c r="F178">
        <v>429</v>
      </c>
      <c r="G178">
        <v>429</v>
      </c>
      <c r="H178">
        <v>433</v>
      </c>
      <c r="I178">
        <v>429</v>
      </c>
      <c r="J178">
        <v>440</v>
      </c>
      <c r="K178">
        <v>435</v>
      </c>
      <c r="L178">
        <v>433</v>
      </c>
      <c r="M178">
        <v>428</v>
      </c>
      <c r="N178">
        <v>425</v>
      </c>
      <c r="O178" s="95">
        <f t="shared" si="25"/>
        <v>428.08333333333331</v>
      </c>
      <c r="P178" s="95">
        <f t="shared" si="28"/>
        <v>-4.0833333333333712</v>
      </c>
      <c r="Q178" s="99">
        <f t="shared" si="27"/>
        <v>-9.4485152333205653E-3</v>
      </c>
    </row>
    <row r="179" spans="1:18" x14ac:dyDescent="0.2">
      <c r="B179" t="s">
        <v>626</v>
      </c>
      <c r="C179">
        <v>426</v>
      </c>
      <c r="D179">
        <v>427</v>
      </c>
      <c r="E179">
        <v>432</v>
      </c>
      <c r="F179">
        <v>435</v>
      </c>
      <c r="G179">
        <v>425</v>
      </c>
      <c r="H179">
        <v>423</v>
      </c>
      <c r="I179">
        <v>420</v>
      </c>
      <c r="J179">
        <v>418</v>
      </c>
      <c r="K179">
        <v>405</v>
      </c>
      <c r="L179">
        <v>390</v>
      </c>
      <c r="M179">
        <v>387</v>
      </c>
      <c r="N179">
        <v>384</v>
      </c>
      <c r="O179" s="95">
        <f t="shared" si="25"/>
        <v>414.33333333333331</v>
      </c>
      <c r="P179" s="95">
        <f t="shared" si="28"/>
        <v>-13.75</v>
      </c>
      <c r="Q179" s="99">
        <f t="shared" si="27"/>
        <v>-3.2119914346895075E-2</v>
      </c>
    </row>
    <row r="180" spans="1:18" x14ac:dyDescent="0.2">
      <c r="B180" t="s">
        <v>627</v>
      </c>
      <c r="C180">
        <v>368</v>
      </c>
      <c r="D180">
        <v>345</v>
      </c>
      <c r="E180">
        <v>332</v>
      </c>
      <c r="F180">
        <v>328</v>
      </c>
      <c r="G180">
        <v>320</v>
      </c>
      <c r="H180">
        <v>329</v>
      </c>
      <c r="I180">
        <v>320</v>
      </c>
      <c r="J180">
        <v>317</v>
      </c>
      <c r="K180">
        <v>361</v>
      </c>
      <c r="L180">
        <v>355</v>
      </c>
      <c r="M180">
        <v>322</v>
      </c>
      <c r="N180">
        <v>311</v>
      </c>
      <c r="O180" s="95">
        <f t="shared" si="25"/>
        <v>334</v>
      </c>
      <c r="P180" s="95">
        <f t="shared" si="28"/>
        <v>-80.333333333333314</v>
      </c>
      <c r="Q180" s="99">
        <f t="shared" si="27"/>
        <v>-0.19388576025744164</v>
      </c>
      <c r="R180" t="s">
        <v>677</v>
      </c>
    </row>
    <row r="181" spans="1:18" x14ac:dyDescent="0.2">
      <c r="B181" t="s">
        <v>674</v>
      </c>
      <c r="C181">
        <v>304</v>
      </c>
      <c r="D181">
        <v>290</v>
      </c>
      <c r="E181">
        <v>283</v>
      </c>
      <c r="F181">
        <v>280</v>
      </c>
      <c r="G181">
        <v>258</v>
      </c>
      <c r="H181">
        <v>270</v>
      </c>
      <c r="I181">
        <v>261</v>
      </c>
      <c r="J181">
        <v>279</v>
      </c>
      <c r="K181">
        <v>290</v>
      </c>
      <c r="L181">
        <v>311</v>
      </c>
      <c r="M181">
        <v>313</v>
      </c>
      <c r="N181">
        <v>253</v>
      </c>
      <c r="O181" s="95">
        <f t="shared" si="25"/>
        <v>282.66666666666669</v>
      </c>
      <c r="P181" s="95">
        <f t="shared" si="28"/>
        <v>-51.333333333333314</v>
      </c>
      <c r="Q181" s="99">
        <f t="shared" si="27"/>
        <v>-0.15369261477045904</v>
      </c>
    </row>
    <row r="182" spans="1:18" x14ac:dyDescent="0.2">
      <c r="B182" s="477" t="s">
        <v>692</v>
      </c>
      <c r="C182">
        <v>250</v>
      </c>
      <c r="D182">
        <v>261</v>
      </c>
      <c r="E182">
        <v>262</v>
      </c>
      <c r="F182">
        <v>277</v>
      </c>
      <c r="G182">
        <v>276</v>
      </c>
      <c r="H182">
        <v>283</v>
      </c>
      <c r="I182">
        <v>278</v>
      </c>
      <c r="J182">
        <v>280</v>
      </c>
      <c r="K182">
        <v>293</v>
      </c>
      <c r="L182">
        <v>346</v>
      </c>
      <c r="M182">
        <v>396</v>
      </c>
      <c r="N182">
        <v>316</v>
      </c>
      <c r="O182" s="95">
        <f t="shared" si="25"/>
        <v>293.16666666666669</v>
      </c>
      <c r="P182" s="95">
        <f t="shared" si="28"/>
        <v>10.5</v>
      </c>
      <c r="Q182" s="99">
        <f t="shared" si="27"/>
        <v>3.7146226415094338E-2</v>
      </c>
      <c r="R182" t="s">
        <v>701</v>
      </c>
    </row>
    <row r="183" spans="1:18" x14ac:dyDescent="0.2">
      <c r="B183" s="477" t="s">
        <v>700</v>
      </c>
      <c r="C183">
        <v>302</v>
      </c>
      <c r="D183">
        <v>302</v>
      </c>
      <c r="E183">
        <v>296</v>
      </c>
      <c r="F183">
        <v>297</v>
      </c>
      <c r="G183">
        <v>297</v>
      </c>
      <c r="H183">
        <v>305</v>
      </c>
      <c r="I183">
        <v>306</v>
      </c>
      <c r="J183">
        <v>311</v>
      </c>
      <c r="K183">
        <v>313</v>
      </c>
      <c r="L183">
        <v>321</v>
      </c>
      <c r="M183">
        <v>327</v>
      </c>
      <c r="N183">
        <v>317</v>
      </c>
      <c r="O183" s="95">
        <f t="shared" si="25"/>
        <v>307.83333333333331</v>
      </c>
      <c r="P183" s="95">
        <f t="shared" si="28"/>
        <v>14.666666666666629</v>
      </c>
      <c r="Q183" s="99">
        <f t="shared" si="27"/>
        <v>5.0028425241614424E-2</v>
      </c>
    </row>
    <row r="184" spans="1:18" x14ac:dyDescent="0.2">
      <c r="B184" s="477" t="s">
        <v>737</v>
      </c>
      <c r="C184">
        <v>314</v>
      </c>
      <c r="D184">
        <v>326</v>
      </c>
      <c r="E184">
        <v>335</v>
      </c>
      <c r="F184">
        <v>329</v>
      </c>
      <c r="G184">
        <v>335</v>
      </c>
      <c r="H184">
        <v>340</v>
      </c>
      <c r="I184">
        <v>335</v>
      </c>
      <c r="J184">
        <v>334</v>
      </c>
      <c r="K184">
        <v>342</v>
      </c>
      <c r="L184">
        <v>342</v>
      </c>
      <c r="M184">
        <v>340</v>
      </c>
      <c r="N184">
        <v>342</v>
      </c>
      <c r="O184" s="95">
        <f t="shared" si="25"/>
        <v>334.5</v>
      </c>
      <c r="P184" s="95">
        <f>SUM(O184-O183)</f>
        <v>26.666666666666686</v>
      </c>
      <c r="Q184" s="99">
        <f>SUM(P184/O183)</f>
        <v>8.6626962642122426E-2</v>
      </c>
    </row>
    <row r="185" spans="1:18" x14ac:dyDescent="0.2">
      <c r="B185" s="477" t="s">
        <v>792</v>
      </c>
      <c r="C185">
        <v>342</v>
      </c>
      <c r="D185">
        <v>340</v>
      </c>
      <c r="E185">
        <v>337</v>
      </c>
      <c r="F185">
        <v>338</v>
      </c>
      <c r="G185">
        <v>336</v>
      </c>
      <c r="H185">
        <v>329</v>
      </c>
      <c r="I185">
        <v>329</v>
      </c>
      <c r="J185">
        <v>332</v>
      </c>
      <c r="K185">
        <v>331</v>
      </c>
      <c r="L185">
        <v>325</v>
      </c>
      <c r="M185">
        <v>323</v>
      </c>
      <c r="N185">
        <v>327</v>
      </c>
      <c r="O185" s="95">
        <f t="shared" si="25"/>
        <v>332.41666666666669</v>
      </c>
      <c r="P185" s="95">
        <f>SUM(O185-O184)</f>
        <v>-2.0833333333333144</v>
      </c>
      <c r="Q185" s="99">
        <f>SUM(P185/O184)</f>
        <v>-6.2282012954658125E-3</v>
      </c>
    </row>
    <row r="186" spans="1:18" x14ac:dyDescent="0.2">
      <c r="B186" s="477" t="s">
        <v>959</v>
      </c>
      <c r="C186">
        <v>323</v>
      </c>
      <c r="D186">
        <v>316</v>
      </c>
      <c r="E186">
        <v>320</v>
      </c>
      <c r="F186">
        <v>318</v>
      </c>
      <c r="G186">
        <v>316</v>
      </c>
      <c r="H186">
        <v>313</v>
      </c>
      <c r="I186">
        <v>315</v>
      </c>
      <c r="J186">
        <v>318</v>
      </c>
      <c r="K186">
        <v>303</v>
      </c>
      <c r="L186">
        <v>314</v>
      </c>
      <c r="M186">
        <v>329</v>
      </c>
      <c r="N186">
        <v>344</v>
      </c>
      <c r="O186" s="95">
        <f t="shared" si="25"/>
        <v>319.08333333333331</v>
      </c>
      <c r="P186" s="95">
        <f>SUM(O186-O185)</f>
        <v>-13.333333333333371</v>
      </c>
      <c r="Q186" s="99">
        <f>SUM(P186/O185)</f>
        <v>-4.0110303334169074E-2</v>
      </c>
    </row>
    <row r="187" spans="1:18" ht="38.25" x14ac:dyDescent="0.2">
      <c r="A187" s="97" t="s">
        <v>331</v>
      </c>
      <c r="B187" s="98" t="s">
        <v>304</v>
      </c>
      <c r="C187" s="100" t="s">
        <v>305</v>
      </c>
      <c r="D187" s="100" t="s">
        <v>306</v>
      </c>
      <c r="E187" s="100" t="s">
        <v>307</v>
      </c>
      <c r="F187" s="100" t="s">
        <v>308</v>
      </c>
      <c r="G187" s="100" t="s">
        <v>309</v>
      </c>
      <c r="H187" s="100" t="s">
        <v>310</v>
      </c>
      <c r="I187" s="100" t="s">
        <v>311</v>
      </c>
      <c r="J187" s="100" t="s">
        <v>312</v>
      </c>
      <c r="K187" s="100" t="s">
        <v>313</v>
      </c>
      <c r="L187" s="100" t="s">
        <v>314</v>
      </c>
      <c r="M187" s="100" t="s">
        <v>315</v>
      </c>
      <c r="N187" s="100" t="s">
        <v>316</v>
      </c>
    </row>
    <row r="188" spans="1:18" x14ac:dyDescent="0.2">
      <c r="B188" t="s">
        <v>320</v>
      </c>
      <c r="C188">
        <v>173</v>
      </c>
      <c r="D188">
        <v>167</v>
      </c>
      <c r="E188">
        <v>163</v>
      </c>
      <c r="F188">
        <v>169</v>
      </c>
      <c r="G188">
        <v>161</v>
      </c>
      <c r="H188">
        <v>164</v>
      </c>
      <c r="I188">
        <v>156</v>
      </c>
      <c r="J188">
        <v>157</v>
      </c>
      <c r="K188">
        <v>148</v>
      </c>
      <c r="L188">
        <v>156</v>
      </c>
      <c r="M188">
        <v>171</v>
      </c>
      <c r="N188">
        <v>177</v>
      </c>
      <c r="O188" s="95">
        <f t="shared" ref="O188:O212" si="29">SUM(C188:N188)/12</f>
        <v>163.5</v>
      </c>
      <c r="P188" s="95"/>
    </row>
    <row r="189" spans="1:18" x14ac:dyDescent="0.2">
      <c r="B189" t="s">
        <v>321</v>
      </c>
      <c r="C189">
        <v>169</v>
      </c>
      <c r="D189">
        <v>160</v>
      </c>
      <c r="E189">
        <v>150</v>
      </c>
      <c r="F189">
        <v>143</v>
      </c>
      <c r="G189">
        <v>143</v>
      </c>
      <c r="H189">
        <v>140</v>
      </c>
      <c r="I189">
        <v>144</v>
      </c>
      <c r="J189">
        <v>152</v>
      </c>
      <c r="K189">
        <v>152</v>
      </c>
      <c r="L189">
        <v>143</v>
      </c>
      <c r="M189">
        <v>151</v>
      </c>
      <c r="N189">
        <v>152</v>
      </c>
      <c r="O189" s="95">
        <f t="shared" si="29"/>
        <v>149.91666666666666</v>
      </c>
      <c r="P189" s="95">
        <f t="shared" ref="P189:P202" si="30">SUM(O189-O188)</f>
        <v>-13.583333333333343</v>
      </c>
      <c r="Q189" s="99">
        <f t="shared" ref="Q189:Q209" si="31">SUM(P189/O188)</f>
        <v>-8.3078491335372123E-2</v>
      </c>
    </row>
    <row r="190" spans="1:18" x14ac:dyDescent="0.2">
      <c r="B190" t="s">
        <v>322</v>
      </c>
      <c r="C190">
        <v>144</v>
      </c>
      <c r="D190">
        <v>141</v>
      </c>
      <c r="E190">
        <v>140</v>
      </c>
      <c r="F190">
        <v>142</v>
      </c>
      <c r="G190">
        <v>138</v>
      </c>
      <c r="H190">
        <v>143</v>
      </c>
      <c r="I190">
        <v>143</v>
      </c>
      <c r="J190">
        <v>152</v>
      </c>
      <c r="K190">
        <v>157</v>
      </c>
      <c r="L190">
        <v>162</v>
      </c>
      <c r="M190">
        <v>167</v>
      </c>
      <c r="N190">
        <v>172</v>
      </c>
      <c r="O190" s="95">
        <f t="shared" si="29"/>
        <v>150.08333333333334</v>
      </c>
      <c r="P190" s="95">
        <f t="shared" si="30"/>
        <v>0.16666666666668561</v>
      </c>
      <c r="Q190" s="99">
        <f t="shared" si="31"/>
        <v>1.1117287381880085E-3</v>
      </c>
    </row>
    <row r="191" spans="1:18" x14ac:dyDescent="0.2">
      <c r="B191" t="s">
        <v>226</v>
      </c>
      <c r="C191">
        <v>175</v>
      </c>
      <c r="D191">
        <v>144</v>
      </c>
      <c r="E191">
        <v>144</v>
      </c>
      <c r="F191">
        <v>144</v>
      </c>
      <c r="G191">
        <v>153</v>
      </c>
      <c r="H191">
        <v>153</v>
      </c>
      <c r="I191">
        <v>153</v>
      </c>
      <c r="J191">
        <v>153</v>
      </c>
      <c r="K191">
        <v>153</v>
      </c>
      <c r="L191">
        <v>162</v>
      </c>
      <c r="M191">
        <v>167</v>
      </c>
      <c r="N191">
        <v>172</v>
      </c>
      <c r="O191" s="95">
        <f t="shared" si="29"/>
        <v>156.08333333333334</v>
      </c>
      <c r="P191" s="95">
        <f t="shared" si="30"/>
        <v>6</v>
      </c>
      <c r="Q191" s="99">
        <f t="shared" si="31"/>
        <v>3.9977790116601887E-2</v>
      </c>
    </row>
    <row r="192" spans="1:18" x14ac:dyDescent="0.2">
      <c r="B192" t="s">
        <v>225</v>
      </c>
      <c r="C192">
        <v>189</v>
      </c>
      <c r="D192">
        <v>147</v>
      </c>
      <c r="E192">
        <v>150</v>
      </c>
      <c r="F192">
        <v>149</v>
      </c>
      <c r="G192">
        <v>143</v>
      </c>
      <c r="H192">
        <v>144</v>
      </c>
      <c r="I192">
        <v>145</v>
      </c>
      <c r="J192">
        <v>150</v>
      </c>
      <c r="K192">
        <v>156</v>
      </c>
      <c r="L192">
        <v>156</v>
      </c>
      <c r="M192">
        <v>137</v>
      </c>
      <c r="N192">
        <v>137</v>
      </c>
      <c r="O192" s="95">
        <f t="shared" si="29"/>
        <v>150.25</v>
      </c>
      <c r="P192" s="95">
        <f t="shared" si="30"/>
        <v>-5.8333333333333428</v>
      </c>
      <c r="Q192" s="99">
        <f t="shared" si="31"/>
        <v>-3.7373198077949872E-2</v>
      </c>
    </row>
    <row r="193" spans="2:17" x14ac:dyDescent="0.2">
      <c r="B193" t="s">
        <v>230</v>
      </c>
      <c r="C193">
        <v>121</v>
      </c>
      <c r="D193">
        <v>120</v>
      </c>
      <c r="E193">
        <v>127</v>
      </c>
      <c r="F193">
        <v>130</v>
      </c>
      <c r="G193">
        <v>134</v>
      </c>
      <c r="H193">
        <v>143</v>
      </c>
      <c r="I193">
        <v>142</v>
      </c>
      <c r="J193">
        <v>138</v>
      </c>
      <c r="K193">
        <v>139</v>
      </c>
      <c r="L193">
        <v>146</v>
      </c>
      <c r="M193">
        <v>148</v>
      </c>
      <c r="N193">
        <v>147</v>
      </c>
      <c r="O193" s="95">
        <f t="shared" si="29"/>
        <v>136.25</v>
      </c>
      <c r="P193" s="95">
        <f t="shared" si="30"/>
        <v>-14</v>
      </c>
      <c r="Q193" s="99">
        <f t="shared" si="31"/>
        <v>-9.3178036605657238E-2</v>
      </c>
    </row>
    <row r="194" spans="2:17" x14ac:dyDescent="0.2">
      <c r="B194" t="s">
        <v>234</v>
      </c>
      <c r="C194">
        <v>146</v>
      </c>
      <c r="D194">
        <v>146</v>
      </c>
      <c r="E194">
        <v>146</v>
      </c>
      <c r="F194">
        <v>152</v>
      </c>
      <c r="G194">
        <v>150</v>
      </c>
      <c r="H194">
        <v>141</v>
      </c>
      <c r="I194">
        <v>136</v>
      </c>
      <c r="J194">
        <v>139</v>
      </c>
      <c r="K194">
        <v>141</v>
      </c>
      <c r="L194">
        <v>149</v>
      </c>
      <c r="M194">
        <v>155</v>
      </c>
      <c r="N194">
        <v>142</v>
      </c>
      <c r="O194" s="95">
        <f t="shared" si="29"/>
        <v>145.25</v>
      </c>
      <c r="P194" s="95">
        <f t="shared" si="30"/>
        <v>9</v>
      </c>
      <c r="Q194" s="99">
        <f t="shared" si="31"/>
        <v>6.6055045871559637E-2</v>
      </c>
    </row>
    <row r="195" spans="2:17" x14ac:dyDescent="0.2">
      <c r="B195" t="s">
        <v>235</v>
      </c>
      <c r="C195">
        <v>148</v>
      </c>
      <c r="D195">
        <v>149</v>
      </c>
      <c r="E195">
        <v>149</v>
      </c>
      <c r="F195">
        <v>151</v>
      </c>
      <c r="G195">
        <v>139</v>
      </c>
      <c r="H195">
        <v>141</v>
      </c>
      <c r="I195">
        <v>136</v>
      </c>
      <c r="J195">
        <v>148</v>
      </c>
      <c r="K195">
        <v>146</v>
      </c>
      <c r="L195">
        <v>210</v>
      </c>
      <c r="M195">
        <v>211</v>
      </c>
      <c r="N195">
        <v>152</v>
      </c>
      <c r="O195" s="95">
        <f t="shared" si="29"/>
        <v>156.66666666666666</v>
      </c>
      <c r="P195" s="95">
        <f t="shared" si="30"/>
        <v>11.416666666666657</v>
      </c>
      <c r="Q195" s="99">
        <f t="shared" si="31"/>
        <v>7.8600114744692987E-2</v>
      </c>
    </row>
    <row r="196" spans="2:17" x14ac:dyDescent="0.2">
      <c r="B196" t="s">
        <v>236</v>
      </c>
      <c r="C196">
        <v>146</v>
      </c>
      <c r="D196">
        <v>150</v>
      </c>
      <c r="E196">
        <v>146</v>
      </c>
      <c r="F196">
        <v>146</v>
      </c>
      <c r="G196">
        <v>114</v>
      </c>
      <c r="H196">
        <v>99</v>
      </c>
      <c r="I196">
        <v>169</v>
      </c>
      <c r="J196">
        <v>145</v>
      </c>
      <c r="K196">
        <v>145</v>
      </c>
      <c r="L196">
        <v>145</v>
      </c>
      <c r="M196">
        <v>139</v>
      </c>
      <c r="N196">
        <v>138</v>
      </c>
      <c r="O196" s="95">
        <f t="shared" si="29"/>
        <v>140.16666666666666</v>
      </c>
      <c r="P196" s="95">
        <f t="shared" si="30"/>
        <v>-16.5</v>
      </c>
      <c r="Q196" s="99">
        <f t="shared" si="31"/>
        <v>-0.10531914893617023</v>
      </c>
    </row>
    <row r="197" spans="2:17" x14ac:dyDescent="0.2">
      <c r="B197" t="s">
        <v>237</v>
      </c>
      <c r="C197">
        <v>133</v>
      </c>
      <c r="D197">
        <v>135</v>
      </c>
      <c r="E197">
        <v>136</v>
      </c>
      <c r="F197">
        <v>143</v>
      </c>
      <c r="G197">
        <v>140</v>
      </c>
      <c r="H197">
        <v>144</v>
      </c>
      <c r="I197">
        <v>145</v>
      </c>
      <c r="J197">
        <v>144</v>
      </c>
      <c r="K197">
        <v>166</v>
      </c>
      <c r="L197">
        <v>162</v>
      </c>
      <c r="M197">
        <v>166</v>
      </c>
      <c r="N197">
        <v>161</v>
      </c>
      <c r="O197" s="95">
        <f t="shared" si="29"/>
        <v>147.91666666666666</v>
      </c>
      <c r="P197" s="95">
        <f t="shared" si="30"/>
        <v>7.75</v>
      </c>
      <c r="Q197" s="99">
        <f t="shared" si="31"/>
        <v>5.5291319857312726E-2</v>
      </c>
    </row>
    <row r="198" spans="2:17" x14ac:dyDescent="0.2">
      <c r="B198" t="s">
        <v>261</v>
      </c>
      <c r="C198">
        <v>159</v>
      </c>
      <c r="D198">
        <v>157</v>
      </c>
      <c r="E198">
        <v>154</v>
      </c>
      <c r="F198">
        <v>156</v>
      </c>
      <c r="G198">
        <v>155</v>
      </c>
      <c r="H198">
        <v>151</v>
      </c>
      <c r="I198">
        <v>152</v>
      </c>
      <c r="J198">
        <v>148</v>
      </c>
      <c r="K198">
        <v>152</v>
      </c>
      <c r="L198">
        <v>155</v>
      </c>
      <c r="M198">
        <v>161</v>
      </c>
      <c r="N198">
        <v>156</v>
      </c>
      <c r="O198" s="95">
        <f t="shared" si="29"/>
        <v>154.66666666666666</v>
      </c>
      <c r="P198" s="95">
        <f t="shared" si="30"/>
        <v>6.75</v>
      </c>
      <c r="Q198" s="99">
        <f t="shared" si="31"/>
        <v>4.5633802816901409E-2</v>
      </c>
    </row>
    <row r="199" spans="2:17" x14ac:dyDescent="0.2">
      <c r="B199" t="s">
        <v>280</v>
      </c>
      <c r="C199">
        <v>150</v>
      </c>
      <c r="D199">
        <v>158</v>
      </c>
      <c r="E199">
        <v>160</v>
      </c>
      <c r="F199">
        <v>142</v>
      </c>
      <c r="G199">
        <v>141</v>
      </c>
      <c r="H199">
        <v>138</v>
      </c>
      <c r="I199">
        <v>139</v>
      </c>
      <c r="J199">
        <v>136</v>
      </c>
      <c r="K199">
        <v>134</v>
      </c>
      <c r="L199">
        <v>142</v>
      </c>
      <c r="M199">
        <v>143</v>
      </c>
      <c r="N199">
        <v>135</v>
      </c>
      <c r="O199" s="95">
        <f t="shared" si="29"/>
        <v>143.16666666666666</v>
      </c>
      <c r="P199" s="95">
        <f t="shared" si="30"/>
        <v>-11.5</v>
      </c>
      <c r="Q199" s="99">
        <f t="shared" si="31"/>
        <v>-7.4353448275862072E-2</v>
      </c>
    </row>
    <row r="200" spans="2:17" x14ac:dyDescent="0.2">
      <c r="B200" t="s">
        <v>323</v>
      </c>
      <c r="C200">
        <v>137</v>
      </c>
      <c r="D200">
        <v>145</v>
      </c>
      <c r="E200">
        <v>146</v>
      </c>
      <c r="F200">
        <v>150</v>
      </c>
      <c r="G200">
        <v>146</v>
      </c>
      <c r="H200">
        <v>138</v>
      </c>
      <c r="I200">
        <v>137</v>
      </c>
      <c r="J200">
        <v>135</v>
      </c>
      <c r="K200">
        <v>138</v>
      </c>
      <c r="L200">
        <v>141</v>
      </c>
      <c r="M200">
        <v>147</v>
      </c>
      <c r="N200">
        <v>140</v>
      </c>
      <c r="O200" s="95">
        <f t="shared" si="29"/>
        <v>141.66666666666666</v>
      </c>
      <c r="P200" s="95">
        <f t="shared" si="30"/>
        <v>-1.5</v>
      </c>
      <c r="Q200" s="99">
        <f t="shared" si="31"/>
        <v>-1.0477299185098952E-2</v>
      </c>
    </row>
    <row r="201" spans="2:17" x14ac:dyDescent="0.2">
      <c r="B201" t="s">
        <v>348</v>
      </c>
      <c r="C201">
        <v>140</v>
      </c>
      <c r="D201">
        <v>137</v>
      </c>
      <c r="E201">
        <v>119</v>
      </c>
      <c r="F201">
        <v>113</v>
      </c>
      <c r="G201">
        <v>111</v>
      </c>
      <c r="H201">
        <v>112</v>
      </c>
      <c r="I201">
        <v>117</v>
      </c>
      <c r="J201">
        <v>109</v>
      </c>
      <c r="K201">
        <v>106</v>
      </c>
      <c r="L201">
        <v>117</v>
      </c>
      <c r="M201">
        <v>122</v>
      </c>
      <c r="N201">
        <v>124</v>
      </c>
      <c r="O201" s="95">
        <f t="shared" si="29"/>
        <v>118.91666666666667</v>
      </c>
      <c r="P201" s="95">
        <f t="shared" si="30"/>
        <v>-22.749999999999986</v>
      </c>
      <c r="Q201" s="99">
        <f t="shared" si="31"/>
        <v>-0.16058823529411756</v>
      </c>
    </row>
    <row r="202" spans="2:17" x14ac:dyDescent="0.2">
      <c r="B202" t="s">
        <v>401</v>
      </c>
      <c r="C202">
        <v>138</v>
      </c>
      <c r="D202">
        <v>145</v>
      </c>
      <c r="E202">
        <v>142</v>
      </c>
      <c r="F202">
        <v>146</v>
      </c>
      <c r="G202">
        <v>148</v>
      </c>
      <c r="H202">
        <v>149</v>
      </c>
      <c r="I202">
        <v>150</v>
      </c>
      <c r="J202">
        <v>147</v>
      </c>
      <c r="K202">
        <v>152</v>
      </c>
      <c r="L202">
        <v>159</v>
      </c>
      <c r="M202">
        <v>160</v>
      </c>
      <c r="N202">
        <v>157</v>
      </c>
      <c r="O202" s="95">
        <f t="shared" si="29"/>
        <v>149.41666666666666</v>
      </c>
      <c r="P202" s="95">
        <f t="shared" si="30"/>
        <v>30.499999999999986</v>
      </c>
      <c r="Q202" s="99">
        <f t="shared" si="31"/>
        <v>0.25648213034337758</v>
      </c>
    </row>
    <row r="203" spans="2:17" x14ac:dyDescent="0.2">
      <c r="B203" t="s">
        <v>414</v>
      </c>
      <c r="C203">
        <v>156</v>
      </c>
      <c r="D203">
        <v>161</v>
      </c>
      <c r="E203">
        <v>163</v>
      </c>
      <c r="F203">
        <v>164</v>
      </c>
      <c r="G203">
        <v>162</v>
      </c>
      <c r="H203">
        <v>158</v>
      </c>
      <c r="I203">
        <v>166</v>
      </c>
      <c r="J203">
        <v>166</v>
      </c>
      <c r="K203">
        <v>170</v>
      </c>
      <c r="L203">
        <v>164</v>
      </c>
      <c r="M203">
        <v>162</v>
      </c>
      <c r="N203">
        <v>160</v>
      </c>
      <c r="O203" s="95">
        <f t="shared" si="29"/>
        <v>162.66666666666666</v>
      </c>
      <c r="P203" s="95">
        <f t="shared" ref="P203:P209" si="32">SUM(O203-O202)</f>
        <v>13.25</v>
      </c>
      <c r="Q203" s="99">
        <f t="shared" si="31"/>
        <v>8.8678192972671502E-2</v>
      </c>
    </row>
    <row r="204" spans="2:17" x14ac:dyDescent="0.2">
      <c r="B204" t="s">
        <v>415</v>
      </c>
      <c r="C204">
        <v>156</v>
      </c>
      <c r="D204">
        <v>155</v>
      </c>
      <c r="E204">
        <v>149</v>
      </c>
      <c r="F204">
        <v>146</v>
      </c>
      <c r="G204">
        <v>149</v>
      </c>
      <c r="H204">
        <v>151</v>
      </c>
      <c r="I204">
        <v>151</v>
      </c>
      <c r="J204">
        <v>148</v>
      </c>
      <c r="K204">
        <v>155</v>
      </c>
      <c r="L204">
        <v>156</v>
      </c>
      <c r="M204">
        <v>153</v>
      </c>
      <c r="N204">
        <v>154</v>
      </c>
      <c r="O204" s="95">
        <f t="shared" si="29"/>
        <v>151.91666666666666</v>
      </c>
      <c r="P204" s="95">
        <f t="shared" si="32"/>
        <v>-10.75</v>
      </c>
      <c r="Q204" s="99">
        <f t="shared" si="31"/>
        <v>-6.6086065573770489E-2</v>
      </c>
    </row>
    <row r="205" spans="2:17" x14ac:dyDescent="0.2">
      <c r="B205" t="s">
        <v>626</v>
      </c>
      <c r="C205">
        <v>156</v>
      </c>
      <c r="D205">
        <v>159</v>
      </c>
      <c r="E205">
        <v>157</v>
      </c>
      <c r="F205">
        <v>158</v>
      </c>
      <c r="G205">
        <v>143</v>
      </c>
      <c r="H205">
        <v>148</v>
      </c>
      <c r="I205">
        <v>155</v>
      </c>
      <c r="J205">
        <v>149</v>
      </c>
      <c r="K205">
        <v>151</v>
      </c>
      <c r="L205">
        <v>145</v>
      </c>
      <c r="M205">
        <v>133</v>
      </c>
      <c r="N205">
        <v>128</v>
      </c>
      <c r="O205" s="95">
        <f t="shared" si="29"/>
        <v>148.5</v>
      </c>
      <c r="P205" s="95">
        <f t="shared" si="32"/>
        <v>-3.4166666666666572</v>
      </c>
      <c r="Q205" s="99">
        <f t="shared" si="31"/>
        <v>-2.2490400438837019E-2</v>
      </c>
    </row>
    <row r="206" spans="2:17" x14ac:dyDescent="0.2">
      <c r="B206" t="s">
        <v>627</v>
      </c>
      <c r="C206">
        <v>119</v>
      </c>
      <c r="D206">
        <v>118</v>
      </c>
      <c r="E206">
        <v>115</v>
      </c>
      <c r="F206">
        <v>111</v>
      </c>
      <c r="G206">
        <v>108</v>
      </c>
      <c r="H206">
        <v>105</v>
      </c>
      <c r="I206">
        <v>93</v>
      </c>
      <c r="J206">
        <v>94</v>
      </c>
      <c r="K206">
        <v>90</v>
      </c>
      <c r="L206">
        <v>85</v>
      </c>
      <c r="M206">
        <v>80</v>
      </c>
      <c r="N206">
        <v>82</v>
      </c>
      <c r="O206" s="95">
        <f t="shared" si="29"/>
        <v>100</v>
      </c>
      <c r="P206" s="95">
        <f t="shared" si="32"/>
        <v>-48.5</v>
      </c>
      <c r="Q206" s="99">
        <f t="shared" si="31"/>
        <v>-0.32659932659932661</v>
      </c>
    </row>
    <row r="207" spans="2:17" x14ac:dyDescent="0.2">
      <c r="B207" t="s">
        <v>674</v>
      </c>
      <c r="C207">
        <v>83</v>
      </c>
      <c r="D207">
        <v>84</v>
      </c>
      <c r="E207">
        <v>81</v>
      </c>
      <c r="F207">
        <v>79</v>
      </c>
      <c r="G207">
        <v>72</v>
      </c>
      <c r="H207">
        <v>80</v>
      </c>
      <c r="I207">
        <v>101</v>
      </c>
      <c r="J207">
        <v>82</v>
      </c>
      <c r="K207">
        <v>80</v>
      </c>
      <c r="L207">
        <v>80</v>
      </c>
      <c r="M207">
        <v>82</v>
      </c>
      <c r="N207">
        <v>86</v>
      </c>
      <c r="O207" s="95">
        <f t="shared" si="29"/>
        <v>82.5</v>
      </c>
      <c r="P207" s="95">
        <f t="shared" si="32"/>
        <v>-17.5</v>
      </c>
      <c r="Q207" s="99">
        <f t="shared" si="31"/>
        <v>-0.17499999999999999</v>
      </c>
    </row>
    <row r="208" spans="2:17" x14ac:dyDescent="0.2">
      <c r="B208" s="477" t="s">
        <v>692</v>
      </c>
      <c r="C208">
        <v>90</v>
      </c>
      <c r="D208">
        <v>91</v>
      </c>
      <c r="E208">
        <v>84</v>
      </c>
      <c r="F208">
        <v>79</v>
      </c>
      <c r="G208">
        <v>79</v>
      </c>
      <c r="H208">
        <v>84</v>
      </c>
      <c r="I208">
        <v>89</v>
      </c>
      <c r="J208">
        <v>89</v>
      </c>
      <c r="K208">
        <v>87</v>
      </c>
      <c r="L208">
        <v>87</v>
      </c>
      <c r="M208">
        <v>90</v>
      </c>
      <c r="N208">
        <v>94</v>
      </c>
      <c r="O208" s="95">
        <f t="shared" si="29"/>
        <v>86.916666666666671</v>
      </c>
      <c r="P208" s="95">
        <f t="shared" si="32"/>
        <v>4.4166666666666714</v>
      </c>
      <c r="Q208" s="99">
        <f t="shared" si="31"/>
        <v>5.3535353535353596E-2</v>
      </c>
    </row>
    <row r="209" spans="1:17" x14ac:dyDescent="0.2">
      <c r="B209" s="477" t="s">
        <v>700</v>
      </c>
      <c r="C209">
        <v>84</v>
      </c>
      <c r="D209">
        <v>82</v>
      </c>
      <c r="E209">
        <v>85</v>
      </c>
      <c r="F209">
        <v>80</v>
      </c>
      <c r="G209">
        <v>78</v>
      </c>
      <c r="H209">
        <v>75</v>
      </c>
      <c r="I209">
        <v>81</v>
      </c>
      <c r="J209">
        <v>81</v>
      </c>
      <c r="K209">
        <v>78</v>
      </c>
      <c r="L209">
        <v>85</v>
      </c>
      <c r="M209">
        <v>82</v>
      </c>
      <c r="N209">
        <v>78</v>
      </c>
      <c r="O209" s="95">
        <f t="shared" si="29"/>
        <v>80.75</v>
      </c>
      <c r="P209" s="95">
        <f t="shared" si="32"/>
        <v>-6.1666666666666714</v>
      </c>
      <c r="Q209" s="99">
        <f t="shared" si="31"/>
        <v>-7.0949185043144819E-2</v>
      </c>
    </row>
    <row r="210" spans="1:17" x14ac:dyDescent="0.2">
      <c r="B210" s="477" t="s">
        <v>737</v>
      </c>
      <c r="C210">
        <v>82</v>
      </c>
      <c r="D210">
        <v>86</v>
      </c>
      <c r="E210">
        <v>88</v>
      </c>
      <c r="F210">
        <v>85</v>
      </c>
      <c r="G210">
        <v>85</v>
      </c>
      <c r="H210">
        <v>82</v>
      </c>
      <c r="I210">
        <v>80</v>
      </c>
      <c r="J210">
        <v>78</v>
      </c>
      <c r="K210">
        <v>82</v>
      </c>
      <c r="L210">
        <v>86</v>
      </c>
      <c r="M210">
        <v>87</v>
      </c>
      <c r="N210">
        <v>86</v>
      </c>
      <c r="O210" s="95">
        <f t="shared" si="29"/>
        <v>83.916666666666671</v>
      </c>
      <c r="P210" s="95">
        <f>SUM(O210-O209)</f>
        <v>3.1666666666666714</v>
      </c>
      <c r="Q210" s="99">
        <f>SUM(P210/O209)</f>
        <v>3.9215686274509866E-2</v>
      </c>
    </row>
    <row r="211" spans="1:17" x14ac:dyDescent="0.2">
      <c r="B211" s="477" t="s">
        <v>792</v>
      </c>
      <c r="C211">
        <v>85</v>
      </c>
      <c r="D211">
        <v>90</v>
      </c>
      <c r="E211">
        <v>90</v>
      </c>
      <c r="F211">
        <v>83</v>
      </c>
      <c r="G211">
        <v>83</v>
      </c>
      <c r="H211">
        <v>78</v>
      </c>
      <c r="I211">
        <v>81</v>
      </c>
      <c r="J211">
        <v>82</v>
      </c>
      <c r="K211">
        <v>80</v>
      </c>
      <c r="L211">
        <v>84</v>
      </c>
      <c r="M211">
        <v>86</v>
      </c>
      <c r="N211">
        <v>88</v>
      </c>
      <c r="O211" s="95">
        <f t="shared" si="29"/>
        <v>84.166666666666671</v>
      </c>
      <c r="P211" s="95">
        <f>SUM(O211-O210)</f>
        <v>0.25</v>
      </c>
      <c r="Q211" s="99">
        <f>SUM(P211/O210)</f>
        <v>2.9791459781529292E-3</v>
      </c>
    </row>
    <row r="212" spans="1:17" x14ac:dyDescent="0.2">
      <c r="B212" s="477" t="s">
        <v>959</v>
      </c>
      <c r="C212">
        <v>85</v>
      </c>
      <c r="D212">
        <v>86</v>
      </c>
      <c r="E212">
        <v>85</v>
      </c>
      <c r="F212">
        <v>83</v>
      </c>
      <c r="G212">
        <v>77</v>
      </c>
      <c r="H212">
        <v>76</v>
      </c>
      <c r="I212">
        <v>75</v>
      </c>
      <c r="J212">
        <v>77</v>
      </c>
      <c r="K212">
        <v>77</v>
      </c>
      <c r="L212">
        <v>79</v>
      </c>
      <c r="M212">
        <v>82</v>
      </c>
      <c r="N212">
        <v>79</v>
      </c>
      <c r="O212" s="95">
        <f t="shared" si="29"/>
        <v>80.083333333333329</v>
      </c>
      <c r="P212" s="95">
        <f>SUM(O212-O211)</f>
        <v>-4.0833333333333428</v>
      </c>
      <c r="Q212" s="99">
        <f>SUM(P212/O211)</f>
        <v>-4.8514851485148627E-2</v>
      </c>
    </row>
    <row r="213" spans="1:17" x14ac:dyDescent="0.2">
      <c r="A213" s="381"/>
      <c r="B213" s="381"/>
      <c r="C213" s="381"/>
      <c r="D213" s="381"/>
      <c r="E213" s="381"/>
      <c r="F213" s="381"/>
      <c r="G213" s="381"/>
      <c r="H213" s="381"/>
      <c r="I213" s="381"/>
      <c r="J213" s="381"/>
      <c r="K213" s="381"/>
      <c r="L213" s="381"/>
      <c r="M213" s="381"/>
      <c r="N213" s="381"/>
      <c r="O213" s="381"/>
      <c r="P213" s="381"/>
      <c r="Q213" s="381"/>
    </row>
    <row r="214" spans="1:17" ht="38.25" x14ac:dyDescent="0.2">
      <c r="A214" s="97" t="s">
        <v>332</v>
      </c>
      <c r="B214" s="98" t="s">
        <v>304</v>
      </c>
      <c r="C214" s="100" t="s">
        <v>305</v>
      </c>
      <c r="D214" s="100" t="s">
        <v>306</v>
      </c>
      <c r="E214" s="100" t="s">
        <v>307</v>
      </c>
      <c r="F214" s="100" t="s">
        <v>308</v>
      </c>
      <c r="G214" s="100" t="s">
        <v>309</v>
      </c>
      <c r="H214" s="100" t="s">
        <v>310</v>
      </c>
      <c r="I214" s="100" t="s">
        <v>311</v>
      </c>
      <c r="J214" s="100" t="s">
        <v>312</v>
      </c>
      <c r="K214" s="100" t="s">
        <v>313</v>
      </c>
      <c r="L214" s="100" t="s">
        <v>314</v>
      </c>
      <c r="M214" s="100" t="s">
        <v>315</v>
      </c>
      <c r="N214" s="100" t="s">
        <v>316</v>
      </c>
    </row>
    <row r="215" spans="1:17" x14ac:dyDescent="0.2">
      <c r="B215" t="s">
        <v>320</v>
      </c>
      <c r="C215">
        <v>88</v>
      </c>
      <c r="D215">
        <v>88</v>
      </c>
      <c r="E215">
        <v>91</v>
      </c>
      <c r="F215">
        <v>89</v>
      </c>
      <c r="G215">
        <v>92</v>
      </c>
      <c r="H215">
        <v>87</v>
      </c>
      <c r="I215">
        <v>92</v>
      </c>
      <c r="J215">
        <v>98</v>
      </c>
      <c r="K215">
        <v>100</v>
      </c>
      <c r="L215">
        <v>101</v>
      </c>
      <c r="M215">
        <v>101</v>
      </c>
      <c r="N215">
        <v>103</v>
      </c>
      <c r="O215" s="95">
        <f t="shared" ref="O215:O223" si="33">SUM(C215:N215)/12</f>
        <v>94.166666666666671</v>
      </c>
      <c r="P215" s="95"/>
    </row>
    <row r="216" spans="1:17" x14ac:dyDescent="0.2">
      <c r="B216" t="s">
        <v>321</v>
      </c>
      <c r="C216">
        <v>99</v>
      </c>
      <c r="D216">
        <v>99</v>
      </c>
      <c r="E216">
        <v>93</v>
      </c>
      <c r="F216">
        <v>96</v>
      </c>
      <c r="G216">
        <v>87</v>
      </c>
      <c r="H216">
        <v>98</v>
      </c>
      <c r="I216">
        <v>92</v>
      </c>
      <c r="J216">
        <v>97</v>
      </c>
      <c r="K216">
        <v>96</v>
      </c>
      <c r="L216">
        <v>96</v>
      </c>
      <c r="M216">
        <v>99</v>
      </c>
      <c r="N216">
        <v>104</v>
      </c>
      <c r="O216" s="95">
        <f t="shared" si="33"/>
        <v>96.333333333333329</v>
      </c>
      <c r="P216" s="95">
        <f t="shared" ref="P216:P236" si="34">SUM(O216-O215)</f>
        <v>2.1666666666666572</v>
      </c>
      <c r="Q216" s="99">
        <f t="shared" ref="Q216:Q236" si="35">SUM(P216/O215)</f>
        <v>2.3008849557522023E-2</v>
      </c>
    </row>
    <row r="217" spans="1:17" x14ac:dyDescent="0.2">
      <c r="B217" t="s">
        <v>322</v>
      </c>
      <c r="C217">
        <v>103</v>
      </c>
      <c r="D217">
        <v>108</v>
      </c>
      <c r="E217">
        <v>99</v>
      </c>
      <c r="F217">
        <v>108</v>
      </c>
      <c r="G217">
        <v>104</v>
      </c>
      <c r="H217">
        <v>89</v>
      </c>
      <c r="I217">
        <v>81</v>
      </c>
      <c r="J217">
        <v>73</v>
      </c>
      <c r="K217">
        <v>71</v>
      </c>
      <c r="L217">
        <v>75</v>
      </c>
      <c r="M217">
        <v>110</v>
      </c>
      <c r="N217">
        <v>120</v>
      </c>
      <c r="O217" s="95">
        <f t="shared" si="33"/>
        <v>95.083333333333329</v>
      </c>
      <c r="P217" s="95">
        <f t="shared" si="34"/>
        <v>-1.25</v>
      </c>
      <c r="Q217" s="99">
        <f t="shared" si="35"/>
        <v>-1.2975778546712804E-2</v>
      </c>
    </row>
    <row r="218" spans="1:17" x14ac:dyDescent="0.2">
      <c r="B218" t="s">
        <v>226</v>
      </c>
      <c r="C218">
        <v>75</v>
      </c>
      <c r="D218">
        <v>134</v>
      </c>
      <c r="E218">
        <v>85</v>
      </c>
      <c r="F218">
        <v>85</v>
      </c>
      <c r="G218">
        <v>86</v>
      </c>
      <c r="H218">
        <v>89</v>
      </c>
      <c r="I218">
        <v>85</v>
      </c>
      <c r="J218">
        <v>85</v>
      </c>
      <c r="K218">
        <v>85</v>
      </c>
      <c r="L218">
        <v>85</v>
      </c>
      <c r="M218">
        <v>85</v>
      </c>
      <c r="N218">
        <v>85</v>
      </c>
      <c r="O218" s="95">
        <f t="shared" si="33"/>
        <v>88.666666666666671</v>
      </c>
      <c r="P218" s="95">
        <f t="shared" si="34"/>
        <v>-6.4166666666666572</v>
      </c>
      <c r="Q218" s="99">
        <f t="shared" si="35"/>
        <v>-6.7484662576687018E-2</v>
      </c>
    </row>
    <row r="219" spans="1:17" x14ac:dyDescent="0.2">
      <c r="B219" t="s">
        <v>225</v>
      </c>
      <c r="C219">
        <v>107</v>
      </c>
      <c r="D219">
        <v>90</v>
      </c>
      <c r="E219">
        <v>90</v>
      </c>
      <c r="F219">
        <v>91</v>
      </c>
      <c r="G219">
        <v>89</v>
      </c>
      <c r="H219">
        <v>89</v>
      </c>
      <c r="I219">
        <v>87</v>
      </c>
      <c r="J219">
        <v>83</v>
      </c>
      <c r="K219">
        <v>79</v>
      </c>
      <c r="L219">
        <v>83</v>
      </c>
      <c r="M219">
        <v>84</v>
      </c>
      <c r="N219">
        <v>86</v>
      </c>
      <c r="O219" s="95">
        <f t="shared" si="33"/>
        <v>88.166666666666671</v>
      </c>
      <c r="P219" s="95">
        <f t="shared" si="34"/>
        <v>-0.5</v>
      </c>
      <c r="Q219" s="99">
        <f t="shared" si="35"/>
        <v>-5.6390977443609019E-3</v>
      </c>
    </row>
    <row r="220" spans="1:17" x14ac:dyDescent="0.2">
      <c r="B220" t="s">
        <v>230</v>
      </c>
      <c r="C220">
        <v>94</v>
      </c>
      <c r="D220">
        <v>94</v>
      </c>
      <c r="E220">
        <v>95</v>
      </c>
      <c r="F220">
        <v>92</v>
      </c>
      <c r="G220">
        <v>92</v>
      </c>
      <c r="H220">
        <v>91</v>
      </c>
      <c r="I220">
        <v>93</v>
      </c>
      <c r="J220">
        <v>90</v>
      </c>
      <c r="K220">
        <v>87</v>
      </c>
      <c r="L220">
        <v>86</v>
      </c>
      <c r="M220">
        <v>86</v>
      </c>
      <c r="N220">
        <v>85</v>
      </c>
      <c r="O220" s="95">
        <f t="shared" si="33"/>
        <v>90.416666666666671</v>
      </c>
      <c r="P220" s="95">
        <f t="shared" si="34"/>
        <v>2.25</v>
      </c>
      <c r="Q220" s="99">
        <f t="shared" si="35"/>
        <v>2.5519848771266538E-2</v>
      </c>
    </row>
    <row r="221" spans="1:17" x14ac:dyDescent="0.2">
      <c r="B221" t="s">
        <v>234</v>
      </c>
      <c r="C221">
        <v>88</v>
      </c>
      <c r="D221">
        <v>90</v>
      </c>
      <c r="E221">
        <v>90</v>
      </c>
      <c r="F221">
        <v>93</v>
      </c>
      <c r="G221">
        <v>90</v>
      </c>
      <c r="H221">
        <v>89</v>
      </c>
      <c r="I221">
        <v>112</v>
      </c>
      <c r="J221">
        <v>108</v>
      </c>
      <c r="K221">
        <v>112</v>
      </c>
      <c r="L221">
        <v>113</v>
      </c>
      <c r="M221">
        <v>109</v>
      </c>
      <c r="N221">
        <v>108</v>
      </c>
      <c r="O221" s="95">
        <f t="shared" si="33"/>
        <v>100.16666666666667</v>
      </c>
      <c r="P221" s="95">
        <f t="shared" si="34"/>
        <v>9.75</v>
      </c>
      <c r="Q221" s="99">
        <f t="shared" si="35"/>
        <v>0.10783410138248847</v>
      </c>
    </row>
    <row r="222" spans="1:17" x14ac:dyDescent="0.2">
      <c r="B222" t="s">
        <v>235</v>
      </c>
      <c r="C222">
        <v>107</v>
      </c>
      <c r="D222">
        <v>106</v>
      </c>
      <c r="E222">
        <v>105</v>
      </c>
      <c r="F222">
        <v>96</v>
      </c>
      <c r="G222">
        <v>99</v>
      </c>
      <c r="H222">
        <v>101</v>
      </c>
      <c r="I222">
        <v>103</v>
      </c>
      <c r="J222">
        <v>103</v>
      </c>
      <c r="K222">
        <v>100</v>
      </c>
      <c r="L222">
        <v>113</v>
      </c>
      <c r="M222">
        <v>118</v>
      </c>
      <c r="N222">
        <v>104</v>
      </c>
      <c r="O222" s="95">
        <f t="shared" si="33"/>
        <v>104.58333333333333</v>
      </c>
      <c r="P222" s="95">
        <f t="shared" si="34"/>
        <v>4.4166666666666572</v>
      </c>
      <c r="Q222" s="99">
        <f t="shared" si="35"/>
        <v>4.4093178036605563E-2</v>
      </c>
    </row>
    <row r="223" spans="1:17" x14ac:dyDescent="0.2">
      <c r="B223" t="s">
        <v>236</v>
      </c>
      <c r="C223">
        <v>106</v>
      </c>
      <c r="D223">
        <v>102</v>
      </c>
      <c r="E223">
        <v>105</v>
      </c>
      <c r="F223">
        <v>103</v>
      </c>
      <c r="G223">
        <v>103</v>
      </c>
      <c r="H223">
        <v>103</v>
      </c>
      <c r="I223">
        <v>99</v>
      </c>
      <c r="J223">
        <v>98</v>
      </c>
      <c r="K223">
        <v>100</v>
      </c>
      <c r="L223">
        <v>101</v>
      </c>
      <c r="M223">
        <v>100</v>
      </c>
      <c r="N223">
        <v>103</v>
      </c>
      <c r="O223" s="95">
        <f t="shared" si="33"/>
        <v>101.91666666666667</v>
      </c>
      <c r="P223" s="95">
        <f t="shared" si="34"/>
        <v>-2.6666666666666572</v>
      </c>
      <c r="Q223" s="99">
        <f t="shared" si="35"/>
        <v>-2.5498007968127401E-2</v>
      </c>
    </row>
    <row r="224" spans="1:17" x14ac:dyDescent="0.2">
      <c r="B224" t="s">
        <v>237</v>
      </c>
      <c r="C224">
        <v>96</v>
      </c>
      <c r="D224">
        <v>95</v>
      </c>
      <c r="E224">
        <v>92</v>
      </c>
      <c r="F224">
        <v>93</v>
      </c>
      <c r="G224">
        <v>90</v>
      </c>
      <c r="H224">
        <v>90</v>
      </c>
      <c r="I224">
        <v>90</v>
      </c>
      <c r="J224">
        <v>90</v>
      </c>
      <c r="K224">
        <v>91</v>
      </c>
      <c r="L224">
        <v>90</v>
      </c>
      <c r="M224">
        <v>75</v>
      </c>
      <c r="N224">
        <v>74</v>
      </c>
      <c r="O224" s="95">
        <f>SUM(C224:N224)/12</f>
        <v>88.833333333333329</v>
      </c>
      <c r="P224" s="95">
        <f t="shared" si="34"/>
        <v>-13.083333333333343</v>
      </c>
      <c r="Q224" s="99">
        <f t="shared" si="35"/>
        <v>-0.12837285363859371</v>
      </c>
    </row>
    <row r="225" spans="1:18" x14ac:dyDescent="0.2">
      <c r="B225" t="s">
        <v>261</v>
      </c>
      <c r="C225">
        <v>73</v>
      </c>
      <c r="D225">
        <v>73</v>
      </c>
      <c r="E225">
        <v>68</v>
      </c>
      <c r="F225">
        <v>69</v>
      </c>
      <c r="G225">
        <v>70</v>
      </c>
      <c r="H225">
        <v>77</v>
      </c>
      <c r="I225">
        <v>71</v>
      </c>
      <c r="J225">
        <v>74</v>
      </c>
      <c r="K225">
        <v>74</v>
      </c>
      <c r="L225">
        <v>72</v>
      </c>
      <c r="N225">
        <v>93</v>
      </c>
      <c r="O225" s="95">
        <f>SUM(C225:N225)/11</f>
        <v>74</v>
      </c>
      <c r="P225" s="95">
        <f t="shared" si="34"/>
        <v>-14.833333333333329</v>
      </c>
      <c r="Q225" s="99">
        <f t="shared" si="35"/>
        <v>-0.16697936210131328</v>
      </c>
    </row>
    <row r="226" spans="1:18" x14ac:dyDescent="0.2">
      <c r="B226" t="s">
        <v>280</v>
      </c>
      <c r="C226">
        <v>95</v>
      </c>
      <c r="D226">
        <v>93</v>
      </c>
      <c r="E226">
        <v>89</v>
      </c>
      <c r="F226">
        <v>84</v>
      </c>
      <c r="G226">
        <v>84</v>
      </c>
      <c r="H226">
        <v>86</v>
      </c>
      <c r="I226">
        <v>87</v>
      </c>
      <c r="J226">
        <v>84</v>
      </c>
      <c r="K226">
        <v>86</v>
      </c>
      <c r="L226">
        <v>89</v>
      </c>
      <c r="M226">
        <v>91</v>
      </c>
      <c r="N226">
        <v>96</v>
      </c>
      <c r="O226" s="95">
        <f t="shared" ref="O226:O239" si="36">SUM(C226:N226)/12</f>
        <v>88.666666666666671</v>
      </c>
      <c r="P226" s="95">
        <f t="shared" si="34"/>
        <v>14.666666666666671</v>
      </c>
      <c r="Q226" s="99">
        <f t="shared" si="35"/>
        <v>0.19819819819819826</v>
      </c>
    </row>
    <row r="227" spans="1:18" x14ac:dyDescent="0.2">
      <c r="B227" t="s">
        <v>323</v>
      </c>
      <c r="C227">
        <v>100</v>
      </c>
      <c r="D227">
        <v>99</v>
      </c>
      <c r="E227">
        <v>98</v>
      </c>
      <c r="F227">
        <v>99</v>
      </c>
      <c r="G227">
        <v>98</v>
      </c>
      <c r="H227">
        <v>99</v>
      </c>
      <c r="I227">
        <v>101</v>
      </c>
      <c r="J227">
        <v>102</v>
      </c>
      <c r="K227">
        <v>101</v>
      </c>
      <c r="L227">
        <v>102</v>
      </c>
      <c r="M227">
        <v>103</v>
      </c>
      <c r="N227">
        <v>107</v>
      </c>
      <c r="O227" s="95">
        <f t="shared" si="36"/>
        <v>100.75</v>
      </c>
      <c r="P227" s="95">
        <f t="shared" si="34"/>
        <v>12.083333333333329</v>
      </c>
      <c r="Q227" s="99">
        <f t="shared" si="35"/>
        <v>0.13627819548872175</v>
      </c>
    </row>
    <row r="228" spans="1:18" x14ac:dyDescent="0.2">
      <c r="B228" t="s">
        <v>348</v>
      </c>
      <c r="C228">
        <v>108</v>
      </c>
      <c r="D228">
        <v>108</v>
      </c>
      <c r="E228">
        <v>109</v>
      </c>
      <c r="F228">
        <v>106</v>
      </c>
      <c r="G228">
        <v>102</v>
      </c>
      <c r="H228">
        <v>100</v>
      </c>
      <c r="I228">
        <v>97</v>
      </c>
      <c r="J228">
        <v>94</v>
      </c>
      <c r="K228">
        <v>98</v>
      </c>
      <c r="L228">
        <v>100</v>
      </c>
      <c r="M228">
        <v>105</v>
      </c>
      <c r="N228">
        <v>101</v>
      </c>
      <c r="O228" s="95">
        <f t="shared" si="36"/>
        <v>102.33333333333333</v>
      </c>
      <c r="P228" s="95">
        <f t="shared" si="34"/>
        <v>1.5833333333333286</v>
      </c>
      <c r="Q228" s="99">
        <f t="shared" si="35"/>
        <v>1.5715467328370508E-2</v>
      </c>
    </row>
    <row r="229" spans="1:18" x14ac:dyDescent="0.2">
      <c r="B229" t="s">
        <v>401</v>
      </c>
      <c r="C229">
        <v>100</v>
      </c>
      <c r="D229">
        <v>100</v>
      </c>
      <c r="E229">
        <v>101</v>
      </c>
      <c r="F229">
        <v>94</v>
      </c>
      <c r="G229">
        <v>95</v>
      </c>
      <c r="H229">
        <v>102</v>
      </c>
      <c r="I229">
        <v>97</v>
      </c>
      <c r="J229">
        <v>96</v>
      </c>
      <c r="K229">
        <v>95</v>
      </c>
      <c r="L229">
        <v>97</v>
      </c>
      <c r="M229">
        <v>98</v>
      </c>
      <c r="N229">
        <v>97</v>
      </c>
      <c r="O229" s="95">
        <f t="shared" si="36"/>
        <v>97.666666666666671</v>
      </c>
      <c r="P229" s="95">
        <f t="shared" si="34"/>
        <v>-4.6666666666666572</v>
      </c>
      <c r="Q229" s="99">
        <f t="shared" si="35"/>
        <v>-4.5602605863192092E-2</v>
      </c>
    </row>
    <row r="230" spans="1:18" x14ac:dyDescent="0.2">
      <c r="B230" t="s">
        <v>414</v>
      </c>
      <c r="C230">
        <v>92</v>
      </c>
      <c r="D230">
        <v>97</v>
      </c>
      <c r="E230">
        <v>96</v>
      </c>
      <c r="F230">
        <v>95</v>
      </c>
      <c r="G230">
        <v>94</v>
      </c>
      <c r="H230">
        <v>93</v>
      </c>
      <c r="I230">
        <v>92</v>
      </c>
      <c r="J230">
        <v>94</v>
      </c>
      <c r="K230">
        <v>96</v>
      </c>
      <c r="L230">
        <v>90</v>
      </c>
      <c r="M230">
        <v>89</v>
      </c>
      <c r="N230">
        <v>85</v>
      </c>
      <c r="O230" s="95">
        <f t="shared" si="36"/>
        <v>92.75</v>
      </c>
      <c r="P230" s="95">
        <f t="shared" si="34"/>
        <v>-4.9166666666666714</v>
      </c>
      <c r="Q230" s="99">
        <f t="shared" si="35"/>
        <v>-5.0341296928327693E-2</v>
      </c>
    </row>
    <row r="231" spans="1:18" x14ac:dyDescent="0.2">
      <c r="B231" t="s">
        <v>415</v>
      </c>
      <c r="C231">
        <v>84</v>
      </c>
      <c r="D231">
        <v>85</v>
      </c>
      <c r="E231">
        <v>82</v>
      </c>
      <c r="F231">
        <v>86</v>
      </c>
      <c r="G231">
        <v>87</v>
      </c>
      <c r="H231">
        <v>88</v>
      </c>
      <c r="I231">
        <v>89</v>
      </c>
      <c r="J231">
        <v>89</v>
      </c>
      <c r="K231">
        <v>90</v>
      </c>
      <c r="L231">
        <v>88</v>
      </c>
      <c r="M231">
        <v>90</v>
      </c>
      <c r="N231">
        <v>90</v>
      </c>
      <c r="O231" s="95">
        <f t="shared" si="36"/>
        <v>87.333333333333329</v>
      </c>
      <c r="P231" s="95">
        <f t="shared" si="34"/>
        <v>-5.4166666666666714</v>
      </c>
      <c r="Q231" s="99">
        <f t="shared" si="35"/>
        <v>-5.8400718778077322E-2</v>
      </c>
    </row>
    <row r="232" spans="1:18" x14ac:dyDescent="0.2">
      <c r="B232" t="s">
        <v>626</v>
      </c>
      <c r="C232">
        <v>92</v>
      </c>
      <c r="D232">
        <v>85</v>
      </c>
      <c r="E232">
        <v>90</v>
      </c>
      <c r="F232">
        <v>89</v>
      </c>
      <c r="G232">
        <v>88</v>
      </c>
      <c r="H232">
        <v>86</v>
      </c>
      <c r="I232">
        <v>83</v>
      </c>
      <c r="J232">
        <v>86</v>
      </c>
      <c r="K232">
        <v>82</v>
      </c>
      <c r="L232">
        <v>83</v>
      </c>
      <c r="M232">
        <v>87</v>
      </c>
      <c r="N232">
        <v>77</v>
      </c>
      <c r="O232" s="95">
        <f t="shared" si="36"/>
        <v>85.666666666666671</v>
      </c>
      <c r="P232" s="95">
        <f t="shared" si="34"/>
        <v>-1.6666666666666572</v>
      </c>
      <c r="Q232" s="99">
        <f t="shared" si="35"/>
        <v>-1.9083969465648748E-2</v>
      </c>
    </row>
    <row r="233" spans="1:18" x14ac:dyDescent="0.2">
      <c r="B233" t="s">
        <v>627</v>
      </c>
      <c r="C233">
        <v>75</v>
      </c>
      <c r="D233">
        <v>68</v>
      </c>
      <c r="E233">
        <v>69</v>
      </c>
      <c r="F233">
        <v>67</v>
      </c>
      <c r="G233">
        <v>62</v>
      </c>
      <c r="H233">
        <v>60</v>
      </c>
      <c r="I233">
        <v>59</v>
      </c>
      <c r="J233">
        <v>51</v>
      </c>
      <c r="K233">
        <v>54</v>
      </c>
      <c r="L233">
        <v>56</v>
      </c>
      <c r="M233">
        <v>88</v>
      </c>
      <c r="N233">
        <v>80</v>
      </c>
      <c r="O233" s="95">
        <f t="shared" si="36"/>
        <v>65.75</v>
      </c>
      <c r="P233" s="95">
        <f t="shared" si="34"/>
        <v>-19.916666666666671</v>
      </c>
      <c r="Q233" s="99">
        <f t="shared" si="35"/>
        <v>-0.23249027237354089</v>
      </c>
    </row>
    <row r="234" spans="1:18" x14ac:dyDescent="0.2">
      <c r="B234" t="s">
        <v>674</v>
      </c>
      <c r="C234">
        <v>81</v>
      </c>
      <c r="D234">
        <v>79</v>
      </c>
      <c r="E234">
        <v>74</v>
      </c>
      <c r="F234">
        <v>68</v>
      </c>
      <c r="G234">
        <v>65</v>
      </c>
      <c r="H234">
        <v>67</v>
      </c>
      <c r="I234">
        <v>76</v>
      </c>
      <c r="J234">
        <v>45</v>
      </c>
      <c r="K234">
        <v>80</v>
      </c>
      <c r="L234">
        <v>80</v>
      </c>
      <c r="M234">
        <v>82</v>
      </c>
      <c r="N234">
        <v>87</v>
      </c>
      <c r="O234" s="95">
        <f t="shared" si="36"/>
        <v>73.666666666666671</v>
      </c>
      <c r="P234" s="95">
        <f t="shared" si="34"/>
        <v>7.9166666666666714</v>
      </c>
      <c r="Q234" s="99">
        <f t="shared" si="35"/>
        <v>0.12040557667934101</v>
      </c>
      <c r="R234" t="s">
        <v>693</v>
      </c>
    </row>
    <row r="235" spans="1:18" x14ac:dyDescent="0.2">
      <c r="B235" s="477" t="s">
        <v>692</v>
      </c>
      <c r="C235">
        <v>11</v>
      </c>
      <c r="D235">
        <v>11</v>
      </c>
      <c r="E235">
        <v>9</v>
      </c>
      <c r="F235">
        <v>83</v>
      </c>
      <c r="G235">
        <v>72</v>
      </c>
      <c r="H235">
        <v>81</v>
      </c>
      <c r="I235">
        <v>88</v>
      </c>
      <c r="J235">
        <v>93</v>
      </c>
      <c r="K235">
        <v>101</v>
      </c>
      <c r="L235">
        <v>60</v>
      </c>
      <c r="M235">
        <v>63</v>
      </c>
      <c r="N235">
        <v>64</v>
      </c>
      <c r="O235" s="95">
        <f t="shared" si="36"/>
        <v>61.333333333333336</v>
      </c>
      <c r="P235" s="95">
        <f t="shared" si="34"/>
        <v>-12.333333333333336</v>
      </c>
      <c r="Q235" s="99">
        <f t="shared" si="35"/>
        <v>-0.16742081447963802</v>
      </c>
    </row>
    <row r="236" spans="1:18" x14ac:dyDescent="0.2">
      <c r="B236" s="477" t="s">
        <v>700</v>
      </c>
      <c r="C236">
        <v>66</v>
      </c>
      <c r="D236">
        <v>65</v>
      </c>
      <c r="E236">
        <v>61</v>
      </c>
      <c r="F236">
        <v>62</v>
      </c>
      <c r="G236">
        <v>61</v>
      </c>
      <c r="H236">
        <v>64</v>
      </c>
      <c r="I236">
        <v>63</v>
      </c>
      <c r="J236">
        <v>64</v>
      </c>
      <c r="K236">
        <v>65</v>
      </c>
      <c r="L236">
        <v>63</v>
      </c>
      <c r="M236">
        <v>64</v>
      </c>
      <c r="N236">
        <v>67</v>
      </c>
      <c r="O236" s="95">
        <f t="shared" si="36"/>
        <v>63.75</v>
      </c>
      <c r="P236" s="95">
        <f t="shared" si="34"/>
        <v>2.4166666666666643</v>
      </c>
      <c r="Q236" s="99">
        <f t="shared" si="35"/>
        <v>3.9402173913043438E-2</v>
      </c>
    </row>
    <row r="237" spans="1:18" x14ac:dyDescent="0.2">
      <c r="B237" s="477" t="s">
        <v>737</v>
      </c>
      <c r="C237">
        <v>65</v>
      </c>
      <c r="D237">
        <v>70</v>
      </c>
      <c r="E237">
        <v>73</v>
      </c>
      <c r="F237">
        <v>73</v>
      </c>
      <c r="G237">
        <v>70</v>
      </c>
      <c r="H237">
        <v>68</v>
      </c>
      <c r="I237">
        <v>68</v>
      </c>
      <c r="J237">
        <v>74</v>
      </c>
      <c r="K237">
        <v>76</v>
      </c>
      <c r="L237">
        <v>77</v>
      </c>
      <c r="M237">
        <v>80</v>
      </c>
      <c r="N237">
        <v>79</v>
      </c>
      <c r="O237" s="95">
        <f t="shared" si="36"/>
        <v>72.75</v>
      </c>
      <c r="P237" s="95">
        <f>SUM(O237-O236)</f>
        <v>9</v>
      </c>
      <c r="Q237" s="99">
        <f>SUM(P237/O236)</f>
        <v>0.14117647058823529</v>
      </c>
    </row>
    <row r="238" spans="1:18" x14ac:dyDescent="0.2">
      <c r="B238" s="477" t="s">
        <v>792</v>
      </c>
      <c r="C238">
        <v>78</v>
      </c>
      <c r="D238">
        <v>79</v>
      </c>
      <c r="E238">
        <v>82</v>
      </c>
      <c r="F238">
        <v>77</v>
      </c>
      <c r="G238">
        <v>75</v>
      </c>
      <c r="H238">
        <v>76</v>
      </c>
      <c r="I238">
        <v>76</v>
      </c>
      <c r="J238">
        <v>77</v>
      </c>
      <c r="K238">
        <v>78</v>
      </c>
      <c r="L238">
        <v>81</v>
      </c>
      <c r="M238">
        <v>81</v>
      </c>
      <c r="N238">
        <v>60</v>
      </c>
      <c r="O238" s="95">
        <f t="shared" si="36"/>
        <v>76.666666666666671</v>
      </c>
      <c r="P238" s="95">
        <f>SUM(O238-O237)</f>
        <v>3.9166666666666714</v>
      </c>
      <c r="Q238" s="99">
        <f>SUM(P238/O237)</f>
        <v>5.3837342497136377E-2</v>
      </c>
    </row>
    <row r="239" spans="1:18" x14ac:dyDescent="0.2">
      <c r="B239" s="477" t="s">
        <v>959</v>
      </c>
      <c r="C239">
        <v>40</v>
      </c>
      <c r="D239">
        <v>36</v>
      </c>
      <c r="E239">
        <v>36</v>
      </c>
      <c r="F239">
        <v>34</v>
      </c>
      <c r="G239">
        <v>33</v>
      </c>
      <c r="H239">
        <v>31</v>
      </c>
      <c r="I239">
        <v>52</v>
      </c>
      <c r="J239">
        <v>69</v>
      </c>
      <c r="K239">
        <v>74</v>
      </c>
      <c r="L239">
        <v>73</v>
      </c>
      <c r="M239">
        <v>75</v>
      </c>
      <c r="N239">
        <v>73</v>
      </c>
      <c r="O239" s="95">
        <f t="shared" si="36"/>
        <v>52.166666666666664</v>
      </c>
      <c r="P239" s="95">
        <f>SUM(O239-O238)</f>
        <v>-24.500000000000007</v>
      </c>
      <c r="Q239" s="99">
        <f>SUM(P239/O238)</f>
        <v>-0.31956521739130445</v>
      </c>
    </row>
    <row r="240" spans="1:18" ht="38.25" x14ac:dyDescent="0.2">
      <c r="A240" s="97" t="s">
        <v>333</v>
      </c>
      <c r="B240" s="98" t="s">
        <v>304</v>
      </c>
      <c r="C240" s="100" t="s">
        <v>305</v>
      </c>
      <c r="D240" s="100" t="s">
        <v>306</v>
      </c>
      <c r="E240" s="100" t="s">
        <v>307</v>
      </c>
      <c r="F240" s="100" t="s">
        <v>308</v>
      </c>
      <c r="G240" s="100" t="s">
        <v>309</v>
      </c>
      <c r="H240" s="100" t="s">
        <v>310</v>
      </c>
      <c r="I240" s="100" t="s">
        <v>311</v>
      </c>
      <c r="J240" s="100" t="s">
        <v>312</v>
      </c>
      <c r="K240" s="100" t="s">
        <v>313</v>
      </c>
      <c r="L240" s="100" t="s">
        <v>314</v>
      </c>
      <c r="M240" s="100" t="s">
        <v>315</v>
      </c>
      <c r="N240" s="100" t="s">
        <v>316</v>
      </c>
    </row>
    <row r="241" spans="2:17" x14ac:dyDescent="0.2">
      <c r="B241" t="s">
        <v>320</v>
      </c>
      <c r="C241">
        <v>69</v>
      </c>
      <c r="D241">
        <v>69</v>
      </c>
      <c r="E241">
        <v>69</v>
      </c>
      <c r="F241">
        <v>69</v>
      </c>
      <c r="G241">
        <v>56</v>
      </c>
      <c r="H241">
        <v>58</v>
      </c>
      <c r="I241">
        <v>57</v>
      </c>
      <c r="J241">
        <v>58</v>
      </c>
      <c r="K241">
        <v>56</v>
      </c>
      <c r="L241">
        <v>62</v>
      </c>
      <c r="M241">
        <v>57</v>
      </c>
      <c r="N241">
        <v>58</v>
      </c>
      <c r="O241" s="95">
        <f t="shared" ref="O241:O265" si="37">SUM(C241:N241)/12</f>
        <v>61.5</v>
      </c>
      <c r="P241" s="95"/>
    </row>
    <row r="242" spans="2:17" x14ac:dyDescent="0.2">
      <c r="B242" t="s">
        <v>321</v>
      </c>
      <c r="C242">
        <v>52</v>
      </c>
      <c r="D242">
        <v>56</v>
      </c>
      <c r="E242">
        <v>51</v>
      </c>
      <c r="F242">
        <v>57</v>
      </c>
      <c r="G242">
        <v>60</v>
      </c>
      <c r="H242">
        <v>58</v>
      </c>
      <c r="I242">
        <v>62</v>
      </c>
      <c r="J242">
        <v>63</v>
      </c>
      <c r="K242">
        <v>59</v>
      </c>
      <c r="L242">
        <v>59</v>
      </c>
      <c r="M242">
        <v>62</v>
      </c>
      <c r="N242">
        <v>60</v>
      </c>
      <c r="O242" s="95">
        <f t="shared" si="37"/>
        <v>58.25</v>
      </c>
      <c r="P242" s="95">
        <f t="shared" ref="P242:P255" si="38">SUM(O242-O241)</f>
        <v>-3.25</v>
      </c>
      <c r="Q242" s="99">
        <f t="shared" ref="Q242:Q262" si="39">SUM(P242/O241)</f>
        <v>-5.2845528455284556E-2</v>
      </c>
    </row>
    <row r="243" spans="2:17" x14ac:dyDescent="0.2">
      <c r="B243" t="s">
        <v>322</v>
      </c>
      <c r="C243">
        <v>60</v>
      </c>
      <c r="D243">
        <v>55</v>
      </c>
      <c r="E243">
        <v>57</v>
      </c>
      <c r="F243">
        <v>55</v>
      </c>
      <c r="G243">
        <v>55</v>
      </c>
      <c r="H243">
        <v>52</v>
      </c>
      <c r="I243">
        <v>60</v>
      </c>
      <c r="J243">
        <v>72</v>
      </c>
      <c r="K243">
        <v>77</v>
      </c>
      <c r="L243">
        <v>82</v>
      </c>
      <c r="M243">
        <v>87</v>
      </c>
      <c r="N243">
        <v>92</v>
      </c>
      <c r="O243" s="95">
        <f t="shared" si="37"/>
        <v>67</v>
      </c>
      <c r="P243" s="95">
        <f t="shared" si="38"/>
        <v>8.75</v>
      </c>
      <c r="Q243" s="99">
        <f t="shared" si="39"/>
        <v>0.15021459227467812</v>
      </c>
    </row>
    <row r="244" spans="2:17" x14ac:dyDescent="0.2">
      <c r="B244" t="s">
        <v>226</v>
      </c>
      <c r="C244">
        <v>87</v>
      </c>
      <c r="D244">
        <v>86</v>
      </c>
      <c r="E244">
        <v>88</v>
      </c>
      <c r="F244">
        <v>86</v>
      </c>
      <c r="G244">
        <v>86</v>
      </c>
      <c r="H244">
        <v>86</v>
      </c>
      <c r="I244">
        <v>86</v>
      </c>
      <c r="J244">
        <v>86</v>
      </c>
      <c r="K244">
        <v>86</v>
      </c>
      <c r="L244">
        <v>86</v>
      </c>
      <c r="M244">
        <v>86</v>
      </c>
      <c r="N244">
        <v>86</v>
      </c>
      <c r="O244" s="95">
        <f t="shared" si="37"/>
        <v>86.25</v>
      </c>
      <c r="P244" s="95">
        <f t="shared" si="38"/>
        <v>19.25</v>
      </c>
      <c r="Q244" s="99">
        <f t="shared" si="39"/>
        <v>0.28731343283582089</v>
      </c>
    </row>
    <row r="245" spans="2:17" x14ac:dyDescent="0.2">
      <c r="B245" t="s">
        <v>225</v>
      </c>
      <c r="C245">
        <v>93</v>
      </c>
      <c r="D245">
        <v>80</v>
      </c>
      <c r="E245">
        <v>78</v>
      </c>
      <c r="F245">
        <v>78</v>
      </c>
      <c r="G245">
        <v>84</v>
      </c>
      <c r="H245">
        <v>90</v>
      </c>
      <c r="I245">
        <v>88</v>
      </c>
      <c r="J245">
        <v>92</v>
      </c>
      <c r="K245">
        <v>94</v>
      </c>
      <c r="L245">
        <v>84</v>
      </c>
      <c r="M245">
        <v>84</v>
      </c>
      <c r="N245">
        <v>85</v>
      </c>
      <c r="O245" s="95">
        <f t="shared" si="37"/>
        <v>85.833333333333329</v>
      </c>
      <c r="P245" s="95">
        <f t="shared" si="38"/>
        <v>-0.4166666666666714</v>
      </c>
      <c r="Q245" s="99">
        <f t="shared" si="39"/>
        <v>-4.8309178743961905E-3</v>
      </c>
    </row>
    <row r="246" spans="2:17" x14ac:dyDescent="0.2">
      <c r="B246" t="s">
        <v>230</v>
      </c>
      <c r="C246">
        <v>80</v>
      </c>
      <c r="D246">
        <v>84</v>
      </c>
      <c r="E246">
        <v>85</v>
      </c>
      <c r="F246">
        <v>88</v>
      </c>
      <c r="G246">
        <v>90</v>
      </c>
      <c r="H246">
        <v>95</v>
      </c>
      <c r="I246">
        <v>101</v>
      </c>
      <c r="J246">
        <v>94</v>
      </c>
      <c r="K246">
        <v>90</v>
      </c>
      <c r="L246">
        <v>93</v>
      </c>
      <c r="M246">
        <v>101</v>
      </c>
      <c r="N246">
        <v>107</v>
      </c>
      <c r="O246" s="95">
        <f t="shared" si="37"/>
        <v>92.333333333333329</v>
      </c>
      <c r="P246" s="95">
        <f t="shared" si="38"/>
        <v>6.5</v>
      </c>
      <c r="Q246" s="99">
        <f t="shared" si="39"/>
        <v>7.5728155339805828E-2</v>
      </c>
    </row>
    <row r="247" spans="2:17" x14ac:dyDescent="0.2">
      <c r="B247" t="s">
        <v>234</v>
      </c>
      <c r="C247">
        <v>112</v>
      </c>
      <c r="D247">
        <v>110</v>
      </c>
      <c r="E247">
        <v>108</v>
      </c>
      <c r="F247">
        <v>113</v>
      </c>
      <c r="G247">
        <v>112</v>
      </c>
      <c r="H247">
        <v>108</v>
      </c>
      <c r="I247">
        <v>107</v>
      </c>
      <c r="J247">
        <v>123</v>
      </c>
      <c r="K247">
        <v>114</v>
      </c>
      <c r="L247">
        <v>116</v>
      </c>
      <c r="M247">
        <v>117</v>
      </c>
      <c r="N247">
        <v>121</v>
      </c>
      <c r="O247" s="95">
        <f t="shared" si="37"/>
        <v>113.41666666666667</v>
      </c>
      <c r="P247" s="95">
        <f t="shared" si="38"/>
        <v>21.083333333333343</v>
      </c>
      <c r="Q247" s="99">
        <f t="shared" si="39"/>
        <v>0.22833935018050552</v>
      </c>
    </row>
    <row r="248" spans="2:17" x14ac:dyDescent="0.2">
      <c r="B248" t="s">
        <v>235</v>
      </c>
      <c r="C248">
        <v>121</v>
      </c>
      <c r="D248">
        <v>122</v>
      </c>
      <c r="E248">
        <v>122</v>
      </c>
      <c r="F248">
        <v>126</v>
      </c>
      <c r="G248">
        <v>124</v>
      </c>
      <c r="H248">
        <v>122</v>
      </c>
      <c r="I248">
        <v>124</v>
      </c>
      <c r="J248">
        <v>122</v>
      </c>
      <c r="K248">
        <v>121</v>
      </c>
      <c r="L248">
        <v>115</v>
      </c>
      <c r="M248">
        <v>114</v>
      </c>
      <c r="N248">
        <v>121</v>
      </c>
      <c r="O248" s="95">
        <f t="shared" si="37"/>
        <v>121.16666666666667</v>
      </c>
      <c r="P248" s="95">
        <f t="shared" si="38"/>
        <v>7.75</v>
      </c>
      <c r="Q248" s="99">
        <f t="shared" si="39"/>
        <v>6.8332108743570902E-2</v>
      </c>
    </row>
    <row r="249" spans="2:17" x14ac:dyDescent="0.2">
      <c r="B249" t="s">
        <v>236</v>
      </c>
      <c r="C249">
        <v>99</v>
      </c>
      <c r="D249">
        <v>100</v>
      </c>
      <c r="E249">
        <v>107</v>
      </c>
      <c r="F249">
        <v>104</v>
      </c>
      <c r="G249">
        <v>103</v>
      </c>
      <c r="H249">
        <v>100</v>
      </c>
      <c r="I249">
        <v>101</v>
      </c>
      <c r="J249">
        <v>98</v>
      </c>
      <c r="K249">
        <v>92</v>
      </c>
      <c r="L249">
        <v>85</v>
      </c>
      <c r="M249">
        <v>92</v>
      </c>
      <c r="N249">
        <v>88</v>
      </c>
      <c r="O249" s="95">
        <f t="shared" si="37"/>
        <v>97.416666666666671</v>
      </c>
      <c r="P249" s="95">
        <f t="shared" si="38"/>
        <v>-23.75</v>
      </c>
      <c r="Q249" s="99">
        <f t="shared" si="39"/>
        <v>-0.19601100412654746</v>
      </c>
    </row>
    <row r="250" spans="2:17" x14ac:dyDescent="0.2">
      <c r="B250" t="s">
        <v>237</v>
      </c>
      <c r="C250">
        <v>79</v>
      </c>
      <c r="D250">
        <v>82</v>
      </c>
      <c r="E250">
        <v>82</v>
      </c>
      <c r="F250">
        <v>78</v>
      </c>
      <c r="G250">
        <v>79</v>
      </c>
      <c r="H250">
        <v>83</v>
      </c>
      <c r="I250">
        <v>84</v>
      </c>
      <c r="J250">
        <v>90</v>
      </c>
      <c r="K250">
        <v>95</v>
      </c>
      <c r="L250">
        <v>94</v>
      </c>
      <c r="M250">
        <v>94</v>
      </c>
      <c r="N250">
        <v>72</v>
      </c>
      <c r="O250" s="95">
        <f t="shared" si="37"/>
        <v>84.333333333333329</v>
      </c>
      <c r="P250" s="95">
        <f t="shared" si="38"/>
        <v>-13.083333333333343</v>
      </c>
      <c r="Q250" s="99">
        <f t="shared" si="39"/>
        <v>-0.13430282292557752</v>
      </c>
    </row>
    <row r="251" spans="2:17" x14ac:dyDescent="0.2">
      <c r="B251" t="s">
        <v>261</v>
      </c>
      <c r="C251">
        <v>84</v>
      </c>
      <c r="D251">
        <v>87</v>
      </c>
      <c r="E251">
        <v>92</v>
      </c>
      <c r="F251">
        <v>97</v>
      </c>
      <c r="G251">
        <v>101</v>
      </c>
      <c r="H251">
        <v>100</v>
      </c>
      <c r="I251">
        <v>85</v>
      </c>
      <c r="J251">
        <v>86</v>
      </c>
      <c r="K251">
        <v>90</v>
      </c>
      <c r="L251">
        <v>89</v>
      </c>
      <c r="M251">
        <v>83</v>
      </c>
      <c r="N251">
        <v>82</v>
      </c>
      <c r="O251" s="95">
        <f t="shared" si="37"/>
        <v>89.666666666666671</v>
      </c>
      <c r="P251" s="95">
        <f t="shared" si="38"/>
        <v>5.3333333333333428</v>
      </c>
      <c r="Q251" s="99">
        <f t="shared" si="39"/>
        <v>6.324110671936771E-2</v>
      </c>
    </row>
    <row r="252" spans="2:17" x14ac:dyDescent="0.2">
      <c r="B252" t="s">
        <v>280</v>
      </c>
      <c r="C252">
        <v>87</v>
      </c>
      <c r="D252">
        <v>86</v>
      </c>
      <c r="E252">
        <v>87</v>
      </c>
      <c r="F252">
        <v>77</v>
      </c>
      <c r="G252">
        <v>76</v>
      </c>
      <c r="H252">
        <v>73</v>
      </c>
      <c r="I252">
        <v>69</v>
      </c>
      <c r="J252">
        <v>75</v>
      </c>
      <c r="K252">
        <v>74</v>
      </c>
      <c r="L252">
        <v>74</v>
      </c>
      <c r="M252">
        <v>72</v>
      </c>
      <c r="N252">
        <v>73</v>
      </c>
      <c r="O252" s="95">
        <f t="shared" si="37"/>
        <v>76.916666666666671</v>
      </c>
      <c r="P252" s="95">
        <f t="shared" si="38"/>
        <v>-12.75</v>
      </c>
      <c r="Q252" s="99">
        <f t="shared" si="39"/>
        <v>-0.14219330855018586</v>
      </c>
    </row>
    <row r="253" spans="2:17" x14ac:dyDescent="0.2">
      <c r="B253" t="s">
        <v>323</v>
      </c>
      <c r="C253">
        <v>74</v>
      </c>
      <c r="D253">
        <v>71</v>
      </c>
      <c r="E253">
        <v>77</v>
      </c>
      <c r="F253">
        <v>76</v>
      </c>
      <c r="G253">
        <v>78</v>
      </c>
      <c r="H253">
        <v>71</v>
      </c>
      <c r="I253">
        <v>69</v>
      </c>
      <c r="J253">
        <v>64</v>
      </c>
      <c r="K253">
        <v>62</v>
      </c>
      <c r="L253">
        <v>55</v>
      </c>
      <c r="M253">
        <v>55</v>
      </c>
      <c r="N253">
        <v>54</v>
      </c>
      <c r="O253" s="95">
        <f t="shared" si="37"/>
        <v>67.166666666666671</v>
      </c>
      <c r="P253" s="95">
        <f t="shared" si="38"/>
        <v>-9.75</v>
      </c>
      <c r="Q253" s="99">
        <f t="shared" si="39"/>
        <v>-0.12676056338028169</v>
      </c>
    </row>
    <row r="254" spans="2:17" x14ac:dyDescent="0.2">
      <c r="B254" t="s">
        <v>348</v>
      </c>
      <c r="C254">
        <v>59</v>
      </c>
      <c r="D254">
        <v>57</v>
      </c>
      <c r="E254">
        <v>54</v>
      </c>
      <c r="F254">
        <v>53</v>
      </c>
      <c r="G254">
        <v>56</v>
      </c>
      <c r="H254">
        <v>62</v>
      </c>
      <c r="I254">
        <v>55</v>
      </c>
      <c r="J254">
        <v>50</v>
      </c>
      <c r="K254">
        <v>49</v>
      </c>
      <c r="L254">
        <v>51</v>
      </c>
      <c r="M254">
        <v>52</v>
      </c>
      <c r="N254">
        <v>50</v>
      </c>
      <c r="O254" s="95">
        <f t="shared" si="37"/>
        <v>54</v>
      </c>
      <c r="P254" s="95">
        <f t="shared" si="38"/>
        <v>-13.166666666666671</v>
      </c>
      <c r="Q254" s="99">
        <f t="shared" si="39"/>
        <v>-0.19602977667493801</v>
      </c>
    </row>
    <row r="255" spans="2:17" x14ac:dyDescent="0.2">
      <c r="B255" t="s">
        <v>401</v>
      </c>
      <c r="C255">
        <v>54</v>
      </c>
      <c r="D255">
        <v>57</v>
      </c>
      <c r="E255">
        <v>63</v>
      </c>
      <c r="F255">
        <v>64</v>
      </c>
      <c r="G255">
        <v>67</v>
      </c>
      <c r="H255">
        <v>65</v>
      </c>
      <c r="I255">
        <v>65</v>
      </c>
      <c r="J255">
        <v>65</v>
      </c>
      <c r="K255">
        <v>67</v>
      </c>
      <c r="L255">
        <v>66</v>
      </c>
      <c r="M255">
        <v>66</v>
      </c>
      <c r="N255">
        <v>69</v>
      </c>
      <c r="O255" s="95">
        <f t="shared" si="37"/>
        <v>64</v>
      </c>
      <c r="P255" s="95">
        <f t="shared" si="38"/>
        <v>10</v>
      </c>
      <c r="Q255" s="99">
        <f t="shared" si="39"/>
        <v>0.18518518518518517</v>
      </c>
    </row>
    <row r="256" spans="2:17" x14ac:dyDescent="0.2">
      <c r="B256" t="s">
        <v>414</v>
      </c>
      <c r="C256">
        <v>65</v>
      </c>
      <c r="D256">
        <v>59</v>
      </c>
      <c r="E256">
        <v>54</v>
      </c>
      <c r="F256">
        <v>55</v>
      </c>
      <c r="G256">
        <v>55</v>
      </c>
      <c r="H256">
        <v>58</v>
      </c>
      <c r="I256">
        <v>57</v>
      </c>
      <c r="J256">
        <v>57</v>
      </c>
      <c r="K256">
        <v>58</v>
      </c>
      <c r="L256">
        <v>58</v>
      </c>
      <c r="M256">
        <v>67</v>
      </c>
      <c r="N256">
        <v>66</v>
      </c>
      <c r="O256" s="95">
        <f t="shared" si="37"/>
        <v>59.083333333333336</v>
      </c>
      <c r="P256" s="95">
        <f t="shared" ref="P256:P262" si="40">SUM(O256-O255)</f>
        <v>-4.9166666666666643</v>
      </c>
      <c r="Q256" s="99">
        <f t="shared" si="39"/>
        <v>-7.682291666666663E-2</v>
      </c>
    </row>
    <row r="257" spans="1:17" x14ac:dyDescent="0.2">
      <c r="B257" t="s">
        <v>415</v>
      </c>
      <c r="C257">
        <v>66</v>
      </c>
      <c r="D257">
        <v>61</v>
      </c>
      <c r="E257">
        <v>46</v>
      </c>
      <c r="F257">
        <v>43</v>
      </c>
      <c r="G257">
        <v>41</v>
      </c>
      <c r="H257">
        <v>37</v>
      </c>
      <c r="I257">
        <v>40</v>
      </c>
      <c r="J257">
        <v>39</v>
      </c>
      <c r="K257">
        <v>38</v>
      </c>
      <c r="L257">
        <v>37</v>
      </c>
      <c r="M257">
        <v>37</v>
      </c>
      <c r="N257">
        <v>34</v>
      </c>
      <c r="O257" s="95">
        <f t="shared" si="37"/>
        <v>43.25</v>
      </c>
      <c r="P257" s="95">
        <f t="shared" si="40"/>
        <v>-15.833333333333336</v>
      </c>
      <c r="Q257" s="99">
        <f t="shared" si="39"/>
        <v>-0.26798307475317351</v>
      </c>
    </row>
    <row r="258" spans="1:17" x14ac:dyDescent="0.2">
      <c r="B258" t="s">
        <v>626</v>
      </c>
      <c r="C258">
        <v>38</v>
      </c>
      <c r="D258">
        <v>38</v>
      </c>
      <c r="E258">
        <v>34</v>
      </c>
      <c r="F258">
        <v>33</v>
      </c>
      <c r="G258">
        <v>32</v>
      </c>
      <c r="H258">
        <v>32</v>
      </c>
      <c r="I258">
        <v>34</v>
      </c>
      <c r="J258">
        <v>31</v>
      </c>
      <c r="K258">
        <v>31</v>
      </c>
      <c r="L258">
        <v>38</v>
      </c>
      <c r="M258">
        <v>39</v>
      </c>
      <c r="N258">
        <v>37</v>
      </c>
      <c r="O258" s="95">
        <f t="shared" si="37"/>
        <v>34.75</v>
      </c>
      <c r="P258" s="95">
        <f t="shared" si="40"/>
        <v>-8.5</v>
      </c>
      <c r="Q258" s="99">
        <f t="shared" si="39"/>
        <v>-0.19653179190751446</v>
      </c>
    </row>
    <row r="259" spans="1:17" x14ac:dyDescent="0.2">
      <c r="B259" t="s">
        <v>627</v>
      </c>
      <c r="C259">
        <v>37</v>
      </c>
      <c r="D259">
        <v>38</v>
      </c>
      <c r="E259">
        <v>33</v>
      </c>
      <c r="F259">
        <v>35</v>
      </c>
      <c r="G259">
        <v>40</v>
      </c>
      <c r="H259">
        <v>42</v>
      </c>
      <c r="I259">
        <v>45</v>
      </c>
      <c r="J259">
        <v>45</v>
      </c>
      <c r="K259">
        <v>42</v>
      </c>
      <c r="L259">
        <v>40</v>
      </c>
      <c r="M259">
        <v>38</v>
      </c>
      <c r="N259">
        <v>39</v>
      </c>
      <c r="O259" s="95">
        <f t="shared" si="37"/>
        <v>39.5</v>
      </c>
      <c r="P259" s="95">
        <f t="shared" si="40"/>
        <v>4.75</v>
      </c>
      <c r="Q259" s="99">
        <f t="shared" si="39"/>
        <v>0.1366906474820144</v>
      </c>
    </row>
    <row r="260" spans="1:17" x14ac:dyDescent="0.2">
      <c r="B260" t="s">
        <v>674</v>
      </c>
      <c r="C260">
        <v>36</v>
      </c>
      <c r="D260">
        <v>0</v>
      </c>
      <c r="E260">
        <v>0</v>
      </c>
      <c r="F260">
        <v>35</v>
      </c>
      <c r="G260">
        <v>35</v>
      </c>
      <c r="H260">
        <v>38</v>
      </c>
      <c r="I260">
        <v>39</v>
      </c>
      <c r="J260">
        <v>43</v>
      </c>
      <c r="K260">
        <v>46</v>
      </c>
      <c r="L260">
        <v>42</v>
      </c>
      <c r="M260">
        <v>41</v>
      </c>
      <c r="N260">
        <v>43</v>
      </c>
      <c r="O260" s="95">
        <f t="shared" si="37"/>
        <v>33.166666666666664</v>
      </c>
      <c r="P260" s="95">
        <f t="shared" si="40"/>
        <v>-6.3333333333333357</v>
      </c>
      <c r="Q260" s="99">
        <f t="shared" si="39"/>
        <v>-0.1603375527426161</v>
      </c>
    </row>
    <row r="261" spans="1:17" x14ac:dyDescent="0.2">
      <c r="B261" s="477" t="s">
        <v>692</v>
      </c>
      <c r="C261">
        <v>46</v>
      </c>
      <c r="D261">
        <v>47</v>
      </c>
      <c r="E261">
        <v>43</v>
      </c>
      <c r="F261">
        <v>44</v>
      </c>
      <c r="G261">
        <v>46</v>
      </c>
      <c r="H261">
        <v>47</v>
      </c>
      <c r="I261">
        <v>54</v>
      </c>
      <c r="J261">
        <v>52</v>
      </c>
      <c r="K261">
        <v>60</v>
      </c>
      <c r="L261">
        <v>57</v>
      </c>
      <c r="M261">
        <v>59</v>
      </c>
      <c r="N261">
        <v>56</v>
      </c>
      <c r="O261" s="95">
        <f t="shared" si="37"/>
        <v>50.916666666666664</v>
      </c>
      <c r="P261" s="95">
        <f t="shared" si="40"/>
        <v>17.75</v>
      </c>
      <c r="Q261" s="99">
        <f t="shared" si="39"/>
        <v>0.53517587939698497</v>
      </c>
    </row>
    <row r="262" spans="1:17" x14ac:dyDescent="0.2">
      <c r="B262" s="477" t="s">
        <v>700</v>
      </c>
      <c r="C262">
        <v>53</v>
      </c>
      <c r="D262">
        <v>51</v>
      </c>
      <c r="E262">
        <v>52</v>
      </c>
      <c r="F262">
        <v>50</v>
      </c>
      <c r="G262">
        <v>48</v>
      </c>
      <c r="H262">
        <v>48</v>
      </c>
      <c r="I262">
        <v>52</v>
      </c>
      <c r="J262">
        <v>58</v>
      </c>
      <c r="K262">
        <v>57</v>
      </c>
      <c r="L262">
        <v>67</v>
      </c>
      <c r="M262">
        <v>70</v>
      </c>
      <c r="N262">
        <v>80</v>
      </c>
      <c r="O262" s="95">
        <f t="shared" si="37"/>
        <v>57.166666666666664</v>
      </c>
      <c r="P262" s="95">
        <f t="shared" si="40"/>
        <v>6.25</v>
      </c>
      <c r="Q262" s="99">
        <f t="shared" si="39"/>
        <v>0.12274959083469722</v>
      </c>
    </row>
    <row r="263" spans="1:17" x14ac:dyDescent="0.2">
      <c r="B263" s="477" t="s">
        <v>737</v>
      </c>
      <c r="C263">
        <v>86</v>
      </c>
      <c r="D263">
        <v>85</v>
      </c>
      <c r="E263">
        <v>88</v>
      </c>
      <c r="F263">
        <v>79</v>
      </c>
      <c r="G263">
        <v>75</v>
      </c>
      <c r="H263">
        <v>82</v>
      </c>
      <c r="I263">
        <v>84</v>
      </c>
      <c r="J263">
        <v>86</v>
      </c>
      <c r="K263">
        <v>88</v>
      </c>
      <c r="L263">
        <v>89</v>
      </c>
      <c r="M263">
        <v>89</v>
      </c>
      <c r="N263">
        <v>94</v>
      </c>
      <c r="O263" s="95">
        <f t="shared" si="37"/>
        <v>85.416666666666671</v>
      </c>
      <c r="P263" s="95">
        <f>SUM(O263-O262)</f>
        <v>28.250000000000007</v>
      </c>
      <c r="Q263" s="99">
        <f>SUM(P263/O262)</f>
        <v>0.49416909620991267</v>
      </c>
    </row>
    <row r="264" spans="1:17" x14ac:dyDescent="0.2">
      <c r="B264" s="477" t="s">
        <v>792</v>
      </c>
      <c r="C264">
        <v>91</v>
      </c>
      <c r="D264">
        <v>94</v>
      </c>
      <c r="E264">
        <v>100</v>
      </c>
      <c r="F264">
        <v>105</v>
      </c>
      <c r="G264">
        <v>107</v>
      </c>
      <c r="H264">
        <v>97</v>
      </c>
      <c r="I264">
        <v>60</v>
      </c>
      <c r="J264">
        <v>56</v>
      </c>
      <c r="K264">
        <v>58</v>
      </c>
      <c r="L264">
        <v>64</v>
      </c>
      <c r="M264">
        <v>63</v>
      </c>
      <c r="N264">
        <v>64</v>
      </c>
      <c r="O264" s="95">
        <f t="shared" si="37"/>
        <v>79.916666666666671</v>
      </c>
      <c r="P264" s="95">
        <f>SUM(O264-O263)</f>
        <v>-5.5</v>
      </c>
      <c r="Q264" s="99">
        <f>SUM(P264/O263)</f>
        <v>-6.4390243902439026E-2</v>
      </c>
    </row>
    <row r="265" spans="1:17" x14ac:dyDescent="0.2">
      <c r="B265" s="477" t="s">
        <v>959</v>
      </c>
      <c r="C265">
        <v>66</v>
      </c>
      <c r="D265">
        <v>73</v>
      </c>
      <c r="E265">
        <v>71</v>
      </c>
      <c r="F265">
        <v>74</v>
      </c>
      <c r="G265">
        <v>74</v>
      </c>
      <c r="H265">
        <v>75</v>
      </c>
      <c r="I265">
        <v>77</v>
      </c>
      <c r="J265">
        <v>79</v>
      </c>
      <c r="K265">
        <v>72</v>
      </c>
      <c r="L265">
        <v>70</v>
      </c>
      <c r="M265">
        <v>67</v>
      </c>
      <c r="N265">
        <v>69</v>
      </c>
      <c r="O265" s="95">
        <f t="shared" si="37"/>
        <v>72.25</v>
      </c>
      <c r="P265" s="95">
        <f>SUM(O265-O264)</f>
        <v>-7.6666666666666714</v>
      </c>
      <c r="Q265" s="99">
        <f>SUM(P265/O264)</f>
        <v>-9.5933263816475545E-2</v>
      </c>
    </row>
    <row r="266" spans="1:17" x14ac:dyDescent="0.2">
      <c r="A266" s="381"/>
      <c r="B266" s="381"/>
      <c r="C266" s="381"/>
      <c r="D266" s="381"/>
      <c r="E266" s="381"/>
      <c r="F266" s="381"/>
      <c r="G266" s="381"/>
      <c r="H266" s="381"/>
      <c r="I266" s="381"/>
      <c r="J266" s="381"/>
      <c r="K266" s="381"/>
      <c r="L266" s="381"/>
      <c r="M266" s="381"/>
      <c r="N266" s="381"/>
      <c r="O266" s="381"/>
      <c r="P266" s="381"/>
      <c r="Q266" s="381"/>
    </row>
    <row r="267" spans="1:17" ht="38.25" x14ac:dyDescent="0.2">
      <c r="A267" s="97" t="s">
        <v>334</v>
      </c>
      <c r="B267" s="98" t="s">
        <v>304</v>
      </c>
      <c r="C267" s="100" t="s">
        <v>305</v>
      </c>
      <c r="D267" s="100" t="s">
        <v>306</v>
      </c>
      <c r="E267" s="100" t="s">
        <v>307</v>
      </c>
      <c r="F267" s="100" t="s">
        <v>308</v>
      </c>
      <c r="G267" s="100" t="s">
        <v>309</v>
      </c>
      <c r="H267" s="100" t="s">
        <v>310</v>
      </c>
      <c r="I267" s="100" t="s">
        <v>311</v>
      </c>
      <c r="J267" s="100" t="s">
        <v>312</v>
      </c>
      <c r="K267" s="100" t="s">
        <v>313</v>
      </c>
      <c r="L267" s="100" t="s">
        <v>314</v>
      </c>
      <c r="M267" s="100" t="s">
        <v>315</v>
      </c>
      <c r="N267" s="100" t="s">
        <v>316</v>
      </c>
    </row>
    <row r="268" spans="1:17" x14ac:dyDescent="0.2">
      <c r="B268" t="s">
        <v>320</v>
      </c>
      <c r="C268">
        <v>92</v>
      </c>
      <c r="D268">
        <v>91</v>
      </c>
      <c r="E268">
        <v>97</v>
      </c>
      <c r="F268">
        <v>94</v>
      </c>
      <c r="G268">
        <v>87</v>
      </c>
      <c r="H268">
        <v>85</v>
      </c>
      <c r="I268">
        <v>91</v>
      </c>
      <c r="J268">
        <v>89</v>
      </c>
      <c r="K268">
        <v>92</v>
      </c>
      <c r="L268">
        <v>92</v>
      </c>
      <c r="M268">
        <v>94</v>
      </c>
      <c r="N268">
        <v>92</v>
      </c>
      <c r="O268" s="95">
        <f t="shared" ref="O268:O292" si="41">SUM(C268:N268)/12</f>
        <v>91.333333333333329</v>
      </c>
      <c r="P268" s="95"/>
    </row>
    <row r="269" spans="1:17" x14ac:dyDescent="0.2">
      <c r="B269" t="s">
        <v>321</v>
      </c>
      <c r="C269">
        <v>90</v>
      </c>
      <c r="D269">
        <v>98</v>
      </c>
      <c r="E269">
        <v>89</v>
      </c>
      <c r="F269">
        <v>84</v>
      </c>
      <c r="G269">
        <v>84</v>
      </c>
      <c r="H269">
        <v>78</v>
      </c>
      <c r="I269">
        <v>83</v>
      </c>
      <c r="J269">
        <v>87</v>
      </c>
      <c r="K269">
        <v>81</v>
      </c>
      <c r="L269">
        <v>81</v>
      </c>
      <c r="M269">
        <v>77</v>
      </c>
      <c r="N269">
        <v>79</v>
      </c>
      <c r="O269" s="95">
        <f t="shared" si="41"/>
        <v>84.25</v>
      </c>
      <c r="P269" s="95">
        <f t="shared" ref="P269:P282" si="42">SUM(O269-O268)</f>
        <v>-7.0833333333333286</v>
      </c>
      <c r="Q269" s="99">
        <f t="shared" ref="Q269:Q289" si="43">SUM(P269/O268)</f>
        <v>-7.7554744525547392E-2</v>
      </c>
    </row>
    <row r="270" spans="1:17" x14ac:dyDescent="0.2">
      <c r="B270" t="s">
        <v>322</v>
      </c>
      <c r="C270">
        <v>81</v>
      </c>
      <c r="D270">
        <v>78</v>
      </c>
      <c r="E270">
        <v>73</v>
      </c>
      <c r="F270">
        <v>77</v>
      </c>
      <c r="G270">
        <v>86</v>
      </c>
      <c r="H270">
        <v>96</v>
      </c>
      <c r="I270">
        <v>84</v>
      </c>
      <c r="J270">
        <v>72</v>
      </c>
      <c r="K270">
        <v>74</v>
      </c>
      <c r="L270">
        <v>76</v>
      </c>
      <c r="M270">
        <v>78</v>
      </c>
      <c r="N270">
        <v>88</v>
      </c>
      <c r="O270" s="95">
        <f t="shared" si="41"/>
        <v>80.25</v>
      </c>
      <c r="P270" s="95">
        <f t="shared" si="42"/>
        <v>-4</v>
      </c>
      <c r="Q270" s="99">
        <f t="shared" si="43"/>
        <v>-4.7477744807121663E-2</v>
      </c>
    </row>
    <row r="271" spans="1:17" x14ac:dyDescent="0.2">
      <c r="B271" t="s">
        <v>226</v>
      </c>
      <c r="C271">
        <v>98</v>
      </c>
      <c r="D271">
        <v>98</v>
      </c>
      <c r="E271">
        <v>100</v>
      </c>
      <c r="F271">
        <v>93</v>
      </c>
      <c r="G271">
        <v>93</v>
      </c>
      <c r="H271">
        <v>93</v>
      </c>
      <c r="I271">
        <v>93</v>
      </c>
      <c r="J271">
        <v>93</v>
      </c>
      <c r="K271">
        <v>93</v>
      </c>
      <c r="L271">
        <v>93</v>
      </c>
      <c r="M271">
        <v>93</v>
      </c>
      <c r="N271">
        <v>93</v>
      </c>
      <c r="O271" s="95">
        <f t="shared" si="41"/>
        <v>94.416666666666671</v>
      </c>
      <c r="P271" s="95">
        <f t="shared" si="42"/>
        <v>14.166666666666671</v>
      </c>
      <c r="Q271" s="99">
        <f t="shared" si="43"/>
        <v>0.17653167185877472</v>
      </c>
    </row>
    <row r="272" spans="1:17" x14ac:dyDescent="0.2">
      <c r="B272" t="s">
        <v>225</v>
      </c>
      <c r="C272">
        <v>106</v>
      </c>
      <c r="D272">
        <v>90</v>
      </c>
      <c r="E272">
        <v>91</v>
      </c>
      <c r="F272">
        <v>91</v>
      </c>
      <c r="G272">
        <v>87</v>
      </c>
      <c r="H272">
        <v>80</v>
      </c>
      <c r="I272">
        <v>76</v>
      </c>
      <c r="J272">
        <v>78</v>
      </c>
      <c r="K272">
        <v>83</v>
      </c>
      <c r="L272">
        <v>92</v>
      </c>
      <c r="M272">
        <v>99</v>
      </c>
      <c r="N272">
        <v>101</v>
      </c>
      <c r="O272" s="95">
        <f t="shared" si="41"/>
        <v>89.5</v>
      </c>
      <c r="P272" s="95">
        <f t="shared" si="42"/>
        <v>-4.9166666666666714</v>
      </c>
      <c r="Q272" s="99">
        <f t="shared" si="43"/>
        <v>-5.2074139452780277E-2</v>
      </c>
    </row>
    <row r="273" spans="2:17" x14ac:dyDescent="0.2">
      <c r="B273" t="s">
        <v>230</v>
      </c>
      <c r="C273">
        <v>93</v>
      </c>
      <c r="D273">
        <v>90</v>
      </c>
      <c r="E273">
        <v>91</v>
      </c>
      <c r="F273">
        <v>94</v>
      </c>
      <c r="G273">
        <v>91</v>
      </c>
      <c r="H273">
        <v>91</v>
      </c>
      <c r="I273">
        <v>93</v>
      </c>
      <c r="J273">
        <v>90</v>
      </c>
      <c r="K273">
        <v>83</v>
      </c>
      <c r="L273">
        <v>84</v>
      </c>
      <c r="M273">
        <v>79</v>
      </c>
      <c r="N273">
        <v>77</v>
      </c>
      <c r="O273" s="95">
        <f t="shared" si="41"/>
        <v>88</v>
      </c>
      <c r="P273" s="95">
        <f t="shared" si="42"/>
        <v>-1.5</v>
      </c>
      <c r="Q273" s="99">
        <f t="shared" si="43"/>
        <v>-1.6759776536312849E-2</v>
      </c>
    </row>
    <row r="274" spans="2:17" x14ac:dyDescent="0.2">
      <c r="B274" t="s">
        <v>234</v>
      </c>
      <c r="C274">
        <v>79</v>
      </c>
      <c r="D274">
        <v>78</v>
      </c>
      <c r="E274">
        <v>74</v>
      </c>
      <c r="F274">
        <v>69</v>
      </c>
      <c r="G274">
        <v>66</v>
      </c>
      <c r="H274">
        <v>62</v>
      </c>
      <c r="I274">
        <v>59</v>
      </c>
      <c r="J274">
        <v>64</v>
      </c>
      <c r="K274">
        <v>59</v>
      </c>
      <c r="L274">
        <v>55</v>
      </c>
      <c r="M274">
        <v>61</v>
      </c>
      <c r="N274">
        <v>64</v>
      </c>
      <c r="O274" s="95">
        <f t="shared" si="41"/>
        <v>65.833333333333329</v>
      </c>
      <c r="P274" s="95">
        <f t="shared" si="42"/>
        <v>-22.166666666666671</v>
      </c>
      <c r="Q274" s="99">
        <f t="shared" si="43"/>
        <v>-0.25189393939393945</v>
      </c>
    </row>
    <row r="275" spans="2:17" x14ac:dyDescent="0.2">
      <c r="B275" t="s">
        <v>235</v>
      </c>
      <c r="C275">
        <v>68</v>
      </c>
      <c r="D275">
        <v>67</v>
      </c>
      <c r="E275">
        <v>71</v>
      </c>
      <c r="F275">
        <v>72</v>
      </c>
      <c r="G275">
        <v>81</v>
      </c>
      <c r="H275">
        <v>85</v>
      </c>
      <c r="I275">
        <v>85</v>
      </c>
      <c r="J275">
        <v>85</v>
      </c>
      <c r="K275">
        <v>73</v>
      </c>
      <c r="L275">
        <v>82</v>
      </c>
      <c r="M275">
        <v>78</v>
      </c>
      <c r="N275">
        <v>80</v>
      </c>
      <c r="O275" s="95">
        <f t="shared" si="41"/>
        <v>77.25</v>
      </c>
      <c r="P275" s="95">
        <f t="shared" si="42"/>
        <v>11.416666666666671</v>
      </c>
      <c r="Q275" s="99">
        <f t="shared" si="43"/>
        <v>0.17341772151898743</v>
      </c>
    </row>
    <row r="276" spans="2:17" x14ac:dyDescent="0.2">
      <c r="B276" t="s">
        <v>236</v>
      </c>
      <c r="C276">
        <v>77</v>
      </c>
      <c r="D276">
        <v>75</v>
      </c>
      <c r="E276">
        <v>74</v>
      </c>
      <c r="F276">
        <v>75</v>
      </c>
      <c r="G276">
        <v>75</v>
      </c>
      <c r="H276">
        <v>77</v>
      </c>
      <c r="I276">
        <v>81</v>
      </c>
      <c r="J276">
        <v>79</v>
      </c>
      <c r="K276">
        <v>79</v>
      </c>
      <c r="L276">
        <v>79</v>
      </c>
      <c r="M276">
        <v>80</v>
      </c>
      <c r="N276">
        <v>76</v>
      </c>
      <c r="O276" s="95">
        <f t="shared" si="41"/>
        <v>77.25</v>
      </c>
      <c r="P276" s="95">
        <f t="shared" si="42"/>
        <v>0</v>
      </c>
      <c r="Q276" s="99">
        <f t="shared" si="43"/>
        <v>0</v>
      </c>
    </row>
    <row r="277" spans="2:17" x14ac:dyDescent="0.2">
      <c r="B277" t="s">
        <v>237</v>
      </c>
      <c r="C277">
        <v>68</v>
      </c>
      <c r="D277">
        <v>66</v>
      </c>
      <c r="E277">
        <v>65</v>
      </c>
      <c r="F277">
        <v>61</v>
      </c>
      <c r="G277">
        <v>59</v>
      </c>
      <c r="H277">
        <v>57</v>
      </c>
      <c r="I277">
        <v>55</v>
      </c>
      <c r="J277">
        <v>56</v>
      </c>
      <c r="K277">
        <v>58</v>
      </c>
      <c r="L277">
        <v>60</v>
      </c>
      <c r="M277">
        <v>61</v>
      </c>
      <c r="N277">
        <v>62</v>
      </c>
      <c r="O277" s="95">
        <f t="shared" si="41"/>
        <v>60.666666666666664</v>
      </c>
      <c r="P277" s="95">
        <f t="shared" si="42"/>
        <v>-16.583333333333336</v>
      </c>
      <c r="Q277" s="99">
        <f t="shared" si="43"/>
        <v>-0.21467098166127296</v>
      </c>
    </row>
    <row r="278" spans="2:17" x14ac:dyDescent="0.2">
      <c r="B278" t="s">
        <v>261</v>
      </c>
      <c r="C278">
        <v>58</v>
      </c>
      <c r="D278">
        <v>59</v>
      </c>
      <c r="E278">
        <v>55</v>
      </c>
      <c r="F278">
        <v>68</v>
      </c>
      <c r="G278">
        <v>62</v>
      </c>
      <c r="H278">
        <v>58</v>
      </c>
      <c r="I278">
        <v>55</v>
      </c>
      <c r="J278">
        <v>58</v>
      </c>
      <c r="K278">
        <v>59</v>
      </c>
      <c r="L278">
        <v>57</v>
      </c>
      <c r="M278">
        <v>52</v>
      </c>
      <c r="N278">
        <v>54</v>
      </c>
      <c r="O278" s="95">
        <f t="shared" si="41"/>
        <v>57.916666666666664</v>
      </c>
      <c r="P278" s="95">
        <f t="shared" si="42"/>
        <v>-2.75</v>
      </c>
      <c r="Q278" s="99">
        <f t="shared" si="43"/>
        <v>-4.5329670329670328E-2</v>
      </c>
    </row>
    <row r="279" spans="2:17" x14ac:dyDescent="0.2">
      <c r="B279" t="s">
        <v>280</v>
      </c>
      <c r="C279">
        <v>55</v>
      </c>
      <c r="D279">
        <v>55</v>
      </c>
      <c r="E279">
        <v>49</v>
      </c>
      <c r="F279">
        <v>51</v>
      </c>
      <c r="G279">
        <v>53</v>
      </c>
      <c r="H279">
        <v>57</v>
      </c>
      <c r="I279">
        <v>63</v>
      </c>
      <c r="J279">
        <v>65</v>
      </c>
      <c r="K279">
        <v>65</v>
      </c>
      <c r="L279">
        <v>61</v>
      </c>
      <c r="M279">
        <v>66</v>
      </c>
      <c r="N279">
        <v>63</v>
      </c>
      <c r="O279" s="95">
        <f t="shared" si="41"/>
        <v>58.583333333333336</v>
      </c>
      <c r="P279" s="95">
        <f t="shared" si="42"/>
        <v>0.6666666666666714</v>
      </c>
      <c r="Q279" s="99">
        <f t="shared" si="43"/>
        <v>1.1510791366906557E-2</v>
      </c>
    </row>
    <row r="280" spans="2:17" x14ac:dyDescent="0.2">
      <c r="B280" t="s">
        <v>323</v>
      </c>
      <c r="C280">
        <v>63</v>
      </c>
      <c r="D280">
        <v>66</v>
      </c>
      <c r="E280">
        <v>66</v>
      </c>
      <c r="F280">
        <v>59</v>
      </c>
      <c r="G280">
        <v>69</v>
      </c>
      <c r="H280">
        <v>72</v>
      </c>
      <c r="I280">
        <v>76</v>
      </c>
      <c r="J280">
        <v>75</v>
      </c>
      <c r="K280">
        <v>81</v>
      </c>
      <c r="L280">
        <v>82</v>
      </c>
      <c r="M280">
        <v>70</v>
      </c>
      <c r="N280">
        <v>80</v>
      </c>
      <c r="O280" s="95">
        <f t="shared" si="41"/>
        <v>71.583333333333329</v>
      </c>
      <c r="P280" s="95">
        <f t="shared" si="42"/>
        <v>12.999999999999993</v>
      </c>
      <c r="Q280" s="99">
        <f t="shared" si="43"/>
        <v>0.22190611664295862</v>
      </c>
    </row>
    <row r="281" spans="2:17" x14ac:dyDescent="0.2">
      <c r="B281" t="s">
        <v>348</v>
      </c>
      <c r="C281">
        <v>72</v>
      </c>
      <c r="D281">
        <v>71</v>
      </c>
      <c r="E281">
        <v>74</v>
      </c>
      <c r="F281">
        <v>75</v>
      </c>
      <c r="G281">
        <v>69</v>
      </c>
      <c r="H281">
        <v>74</v>
      </c>
      <c r="I281">
        <v>72</v>
      </c>
      <c r="J281">
        <v>74</v>
      </c>
      <c r="K281">
        <v>79</v>
      </c>
      <c r="L281">
        <v>82</v>
      </c>
      <c r="M281">
        <v>87</v>
      </c>
      <c r="N281">
        <v>87</v>
      </c>
      <c r="O281" s="95">
        <f t="shared" si="41"/>
        <v>76.333333333333329</v>
      </c>
      <c r="P281" s="95">
        <f t="shared" si="42"/>
        <v>4.75</v>
      </c>
      <c r="Q281" s="99">
        <f t="shared" si="43"/>
        <v>6.6356228172293363E-2</v>
      </c>
    </row>
    <row r="282" spans="2:17" x14ac:dyDescent="0.2">
      <c r="B282" t="s">
        <v>401</v>
      </c>
      <c r="C282">
        <v>94</v>
      </c>
      <c r="D282">
        <v>94</v>
      </c>
      <c r="E282">
        <v>101</v>
      </c>
      <c r="F282">
        <v>108</v>
      </c>
      <c r="G282">
        <v>108</v>
      </c>
      <c r="H282">
        <v>107</v>
      </c>
      <c r="I282">
        <v>98</v>
      </c>
      <c r="J282">
        <v>97</v>
      </c>
      <c r="K282">
        <v>96</v>
      </c>
      <c r="L282">
        <v>98</v>
      </c>
      <c r="M282">
        <v>100</v>
      </c>
      <c r="N282">
        <v>101</v>
      </c>
      <c r="O282" s="95">
        <f t="shared" si="41"/>
        <v>100.16666666666667</v>
      </c>
      <c r="P282" s="95">
        <f t="shared" si="42"/>
        <v>23.833333333333343</v>
      </c>
      <c r="Q282" s="99">
        <f t="shared" si="43"/>
        <v>0.31222707423580798</v>
      </c>
    </row>
    <row r="283" spans="2:17" x14ac:dyDescent="0.2">
      <c r="B283" t="s">
        <v>414</v>
      </c>
      <c r="C283">
        <v>101</v>
      </c>
      <c r="D283">
        <v>96</v>
      </c>
      <c r="E283">
        <v>102</v>
      </c>
      <c r="F283">
        <v>105</v>
      </c>
      <c r="G283">
        <v>103</v>
      </c>
      <c r="H283">
        <v>104</v>
      </c>
      <c r="I283">
        <v>101</v>
      </c>
      <c r="J283">
        <v>103</v>
      </c>
      <c r="K283">
        <v>94</v>
      </c>
      <c r="L283">
        <v>106</v>
      </c>
      <c r="M283">
        <v>101</v>
      </c>
      <c r="N283">
        <v>100</v>
      </c>
      <c r="O283" s="95">
        <f t="shared" si="41"/>
        <v>101.33333333333333</v>
      </c>
      <c r="P283" s="95">
        <f t="shared" ref="P283:P289" si="44">SUM(O283-O282)</f>
        <v>1.1666666666666572</v>
      </c>
      <c r="Q283" s="99">
        <f t="shared" si="43"/>
        <v>1.1647254575707059E-2</v>
      </c>
    </row>
    <row r="284" spans="2:17" x14ac:dyDescent="0.2">
      <c r="B284" t="s">
        <v>415</v>
      </c>
      <c r="C284">
        <v>95</v>
      </c>
      <c r="D284">
        <v>93</v>
      </c>
      <c r="E284">
        <v>93</v>
      </c>
      <c r="F284">
        <v>97</v>
      </c>
      <c r="G284">
        <v>93</v>
      </c>
      <c r="H284">
        <v>91</v>
      </c>
      <c r="I284">
        <v>92</v>
      </c>
      <c r="J284">
        <v>91</v>
      </c>
      <c r="K284">
        <v>87</v>
      </c>
      <c r="L284">
        <v>88</v>
      </c>
      <c r="M284">
        <v>86</v>
      </c>
      <c r="N284">
        <v>84</v>
      </c>
      <c r="O284" s="95">
        <f t="shared" si="41"/>
        <v>90.833333333333329</v>
      </c>
      <c r="P284" s="95">
        <f t="shared" si="44"/>
        <v>-10.5</v>
      </c>
      <c r="Q284" s="99">
        <f t="shared" si="43"/>
        <v>-0.10361842105263158</v>
      </c>
    </row>
    <row r="285" spans="2:17" x14ac:dyDescent="0.2">
      <c r="B285" t="s">
        <v>626</v>
      </c>
      <c r="C285">
        <v>89</v>
      </c>
      <c r="D285">
        <v>94</v>
      </c>
      <c r="E285">
        <v>94</v>
      </c>
      <c r="F285">
        <v>92</v>
      </c>
      <c r="G285">
        <v>93</v>
      </c>
      <c r="H285">
        <v>98</v>
      </c>
      <c r="I285">
        <v>98</v>
      </c>
      <c r="J285">
        <v>96</v>
      </c>
      <c r="K285">
        <v>101</v>
      </c>
      <c r="L285">
        <v>100</v>
      </c>
      <c r="M285">
        <v>98</v>
      </c>
      <c r="N285">
        <v>99</v>
      </c>
      <c r="O285" s="95">
        <f t="shared" si="41"/>
        <v>96</v>
      </c>
      <c r="P285" s="95">
        <f t="shared" si="44"/>
        <v>5.1666666666666714</v>
      </c>
      <c r="Q285" s="99">
        <f t="shared" si="43"/>
        <v>5.688073394495418E-2</v>
      </c>
    </row>
    <row r="286" spans="2:17" x14ac:dyDescent="0.2">
      <c r="B286" t="s">
        <v>627</v>
      </c>
      <c r="C286">
        <v>92</v>
      </c>
      <c r="D286">
        <v>89</v>
      </c>
      <c r="E286">
        <v>90</v>
      </c>
      <c r="F286">
        <v>95</v>
      </c>
      <c r="G286">
        <v>89</v>
      </c>
      <c r="H286">
        <v>85</v>
      </c>
      <c r="I286">
        <v>87</v>
      </c>
      <c r="J286">
        <v>85</v>
      </c>
      <c r="K286">
        <v>87</v>
      </c>
      <c r="L286">
        <v>93</v>
      </c>
      <c r="M286">
        <v>90</v>
      </c>
      <c r="N286">
        <v>88</v>
      </c>
      <c r="O286" s="95">
        <f t="shared" si="41"/>
        <v>89.166666666666671</v>
      </c>
      <c r="P286" s="95">
        <f t="shared" si="44"/>
        <v>-6.8333333333333286</v>
      </c>
      <c r="Q286" s="99">
        <f t="shared" si="43"/>
        <v>-7.1180555555555511E-2</v>
      </c>
    </row>
    <row r="287" spans="2:17" x14ac:dyDescent="0.2">
      <c r="B287" t="s">
        <v>674</v>
      </c>
      <c r="C287">
        <v>92</v>
      </c>
      <c r="D287">
        <v>90</v>
      </c>
      <c r="E287">
        <v>95</v>
      </c>
      <c r="F287">
        <v>94</v>
      </c>
      <c r="G287">
        <v>97</v>
      </c>
      <c r="H287">
        <v>97</v>
      </c>
      <c r="I287">
        <v>87</v>
      </c>
      <c r="J287">
        <v>90</v>
      </c>
      <c r="K287">
        <v>90</v>
      </c>
      <c r="L287">
        <v>82</v>
      </c>
      <c r="M287">
        <v>87</v>
      </c>
      <c r="N287">
        <v>83</v>
      </c>
      <c r="O287" s="95">
        <f t="shared" si="41"/>
        <v>90.333333333333329</v>
      </c>
      <c r="P287" s="95">
        <f t="shared" si="44"/>
        <v>1.1666666666666572</v>
      </c>
      <c r="Q287" s="99">
        <f t="shared" si="43"/>
        <v>1.3084112149532603E-2</v>
      </c>
    </row>
    <row r="288" spans="2:17" x14ac:dyDescent="0.2">
      <c r="B288" s="477" t="s">
        <v>692</v>
      </c>
      <c r="C288">
        <v>84</v>
      </c>
      <c r="D288">
        <v>88</v>
      </c>
      <c r="E288">
        <v>91</v>
      </c>
      <c r="F288">
        <v>93</v>
      </c>
      <c r="G288">
        <v>93</v>
      </c>
      <c r="H288">
        <v>91</v>
      </c>
      <c r="I288">
        <v>87</v>
      </c>
      <c r="J288">
        <v>88</v>
      </c>
      <c r="K288">
        <v>87</v>
      </c>
      <c r="L288">
        <v>88</v>
      </c>
      <c r="M288">
        <v>89</v>
      </c>
      <c r="N288">
        <v>89</v>
      </c>
      <c r="O288" s="95">
        <f t="shared" si="41"/>
        <v>89</v>
      </c>
      <c r="P288" s="95">
        <f t="shared" si="44"/>
        <v>-1.3333333333333286</v>
      </c>
      <c r="Q288" s="99">
        <f t="shared" si="43"/>
        <v>-1.4760147601475962E-2</v>
      </c>
    </row>
    <row r="289" spans="1:17" x14ac:dyDescent="0.2">
      <c r="B289" s="477" t="s">
        <v>700</v>
      </c>
      <c r="C289">
        <v>88</v>
      </c>
      <c r="D289">
        <v>86</v>
      </c>
      <c r="E289">
        <v>85</v>
      </c>
      <c r="F289">
        <v>83</v>
      </c>
      <c r="G289">
        <v>79</v>
      </c>
      <c r="H289">
        <v>82</v>
      </c>
      <c r="I289">
        <v>84</v>
      </c>
      <c r="J289">
        <v>86</v>
      </c>
      <c r="K289">
        <v>86</v>
      </c>
      <c r="L289">
        <v>85</v>
      </c>
      <c r="M289">
        <v>85</v>
      </c>
      <c r="N289">
        <v>86</v>
      </c>
      <c r="O289" s="95">
        <f t="shared" si="41"/>
        <v>84.583333333333329</v>
      </c>
      <c r="P289" s="95">
        <f t="shared" si="44"/>
        <v>-4.4166666666666714</v>
      </c>
      <c r="Q289" s="99">
        <f t="shared" si="43"/>
        <v>-4.9625468164794059E-2</v>
      </c>
    </row>
    <row r="290" spans="1:17" x14ac:dyDescent="0.2">
      <c r="B290" s="477" t="s">
        <v>737</v>
      </c>
      <c r="C290">
        <v>90</v>
      </c>
      <c r="D290">
        <v>82</v>
      </c>
      <c r="E290">
        <v>84</v>
      </c>
      <c r="F290">
        <v>89</v>
      </c>
      <c r="G290">
        <v>89</v>
      </c>
      <c r="H290">
        <v>89</v>
      </c>
      <c r="I290">
        <v>90</v>
      </c>
      <c r="J290">
        <v>91</v>
      </c>
      <c r="K290">
        <v>87</v>
      </c>
      <c r="L290">
        <v>89</v>
      </c>
      <c r="M290">
        <v>92</v>
      </c>
      <c r="N290">
        <v>96</v>
      </c>
      <c r="O290" s="95">
        <f t="shared" si="41"/>
        <v>89</v>
      </c>
      <c r="P290" s="95">
        <f>SUM(O290-O289)</f>
        <v>4.4166666666666714</v>
      </c>
      <c r="Q290" s="99">
        <f>SUM(P290/O289)</f>
        <v>5.2216748768472966E-2</v>
      </c>
    </row>
    <row r="291" spans="1:17" x14ac:dyDescent="0.2">
      <c r="B291" s="477" t="s">
        <v>792</v>
      </c>
      <c r="C291">
        <v>97</v>
      </c>
      <c r="D291">
        <v>96</v>
      </c>
      <c r="E291">
        <v>90</v>
      </c>
      <c r="F291">
        <v>94</v>
      </c>
      <c r="G291">
        <v>96</v>
      </c>
      <c r="H291">
        <v>96</v>
      </c>
      <c r="I291">
        <v>100</v>
      </c>
      <c r="J291">
        <v>111</v>
      </c>
      <c r="K291">
        <v>119</v>
      </c>
      <c r="L291">
        <v>126</v>
      </c>
      <c r="M291">
        <v>119</v>
      </c>
      <c r="N291">
        <v>119</v>
      </c>
      <c r="O291" s="95">
        <f t="shared" si="41"/>
        <v>105.25</v>
      </c>
      <c r="P291" s="95">
        <f>SUM(O291-O290)</f>
        <v>16.25</v>
      </c>
      <c r="Q291" s="99">
        <f>SUM(P291/O290)</f>
        <v>0.18258426966292135</v>
      </c>
    </row>
    <row r="292" spans="1:17" x14ac:dyDescent="0.2">
      <c r="B292" s="477" t="s">
        <v>959</v>
      </c>
      <c r="C292">
        <v>121</v>
      </c>
      <c r="D292">
        <v>123</v>
      </c>
      <c r="E292">
        <v>128</v>
      </c>
      <c r="F292">
        <v>130</v>
      </c>
      <c r="G292">
        <v>128</v>
      </c>
      <c r="H292">
        <v>130</v>
      </c>
      <c r="I292">
        <v>142</v>
      </c>
      <c r="J292">
        <v>146</v>
      </c>
      <c r="K292">
        <v>144</v>
      </c>
      <c r="L292">
        <v>140</v>
      </c>
      <c r="M292">
        <v>128</v>
      </c>
      <c r="N292">
        <v>123</v>
      </c>
      <c r="O292" s="95">
        <f t="shared" si="41"/>
        <v>131.91666666666666</v>
      </c>
      <c r="P292" s="95">
        <f>SUM(O292-O291)</f>
        <v>26.666666666666657</v>
      </c>
      <c r="Q292" s="99">
        <f>SUM(P292/O291)</f>
        <v>0.25336500395882811</v>
      </c>
    </row>
    <row r="293" spans="1:17" ht="38.25" x14ac:dyDescent="0.2">
      <c r="A293" s="97" t="s">
        <v>335</v>
      </c>
      <c r="B293" s="98" t="s">
        <v>304</v>
      </c>
      <c r="C293" s="100" t="s">
        <v>305</v>
      </c>
      <c r="D293" s="100" t="s">
        <v>306</v>
      </c>
      <c r="E293" s="100" t="s">
        <v>307</v>
      </c>
      <c r="F293" s="100" t="s">
        <v>308</v>
      </c>
      <c r="G293" s="100" t="s">
        <v>309</v>
      </c>
      <c r="H293" s="100" t="s">
        <v>310</v>
      </c>
      <c r="I293" s="100" t="s">
        <v>311</v>
      </c>
      <c r="J293" s="100" t="s">
        <v>312</v>
      </c>
      <c r="K293" s="100" t="s">
        <v>313</v>
      </c>
      <c r="L293" s="100" t="s">
        <v>314</v>
      </c>
      <c r="M293" s="100" t="s">
        <v>315</v>
      </c>
      <c r="N293" s="100" t="s">
        <v>316</v>
      </c>
    </row>
    <row r="294" spans="1:17" x14ac:dyDescent="0.2">
      <c r="B294" t="s">
        <v>320</v>
      </c>
      <c r="C294">
        <v>438</v>
      </c>
      <c r="D294">
        <v>444</v>
      </c>
      <c r="E294">
        <v>446</v>
      </c>
      <c r="F294">
        <v>441</v>
      </c>
      <c r="G294">
        <v>444</v>
      </c>
      <c r="H294">
        <v>449</v>
      </c>
      <c r="I294">
        <v>447</v>
      </c>
      <c r="J294">
        <v>460</v>
      </c>
      <c r="K294">
        <v>465</v>
      </c>
      <c r="L294">
        <v>463</v>
      </c>
      <c r="M294">
        <v>469</v>
      </c>
      <c r="N294">
        <v>478</v>
      </c>
      <c r="O294" s="95">
        <f t="shared" ref="O294:O318" si="45">SUM(C294:N294)/12</f>
        <v>453.66666666666669</v>
      </c>
      <c r="P294" s="95"/>
    </row>
    <row r="295" spans="1:17" x14ac:dyDescent="0.2">
      <c r="B295" t="s">
        <v>321</v>
      </c>
      <c r="C295">
        <v>474</v>
      </c>
      <c r="D295">
        <v>481</v>
      </c>
      <c r="E295">
        <v>491</v>
      </c>
      <c r="F295">
        <v>478</v>
      </c>
      <c r="G295">
        <v>472</v>
      </c>
      <c r="H295">
        <v>477</v>
      </c>
      <c r="I295">
        <v>476</v>
      </c>
      <c r="J295">
        <v>470</v>
      </c>
      <c r="K295">
        <v>467</v>
      </c>
      <c r="L295">
        <v>480</v>
      </c>
      <c r="M295">
        <v>461</v>
      </c>
      <c r="N295">
        <v>449</v>
      </c>
      <c r="O295" s="95">
        <f t="shared" si="45"/>
        <v>473</v>
      </c>
      <c r="P295" s="95">
        <f t="shared" ref="P295:P308" si="46">SUM(O295-O294)</f>
        <v>19.333333333333314</v>
      </c>
      <c r="Q295" s="99">
        <f t="shared" ref="Q295:Q315" si="47">SUM(P295/O294)</f>
        <v>4.261572373254955E-2</v>
      </c>
    </row>
    <row r="296" spans="1:17" x14ac:dyDescent="0.2">
      <c r="B296" t="s">
        <v>322</v>
      </c>
      <c r="C296">
        <v>463</v>
      </c>
      <c r="D296">
        <v>474</v>
      </c>
      <c r="E296">
        <v>480</v>
      </c>
      <c r="F296">
        <v>457</v>
      </c>
      <c r="G296">
        <v>459</v>
      </c>
      <c r="H296">
        <v>469</v>
      </c>
      <c r="I296">
        <v>460</v>
      </c>
      <c r="J296">
        <v>446</v>
      </c>
      <c r="K296">
        <v>457</v>
      </c>
      <c r="L296">
        <v>468</v>
      </c>
      <c r="M296">
        <v>479</v>
      </c>
      <c r="N296">
        <v>490</v>
      </c>
      <c r="O296" s="95">
        <f t="shared" si="45"/>
        <v>466.83333333333331</v>
      </c>
      <c r="P296" s="95">
        <f t="shared" si="46"/>
        <v>-6.1666666666666856</v>
      </c>
      <c r="Q296" s="99">
        <f t="shared" si="47"/>
        <v>-1.3037350246652613E-2</v>
      </c>
    </row>
    <row r="297" spans="1:17" x14ac:dyDescent="0.2">
      <c r="B297" t="s">
        <v>226</v>
      </c>
      <c r="C297">
        <v>537</v>
      </c>
      <c r="D297">
        <v>544</v>
      </c>
      <c r="E297">
        <v>514</v>
      </c>
      <c r="F297">
        <v>562</v>
      </c>
      <c r="G297">
        <v>557</v>
      </c>
      <c r="H297">
        <v>551</v>
      </c>
      <c r="I297">
        <v>545</v>
      </c>
      <c r="J297">
        <v>538</v>
      </c>
      <c r="K297">
        <v>525</v>
      </c>
      <c r="L297">
        <v>518</v>
      </c>
      <c r="M297">
        <v>502</v>
      </c>
      <c r="N297">
        <v>506</v>
      </c>
      <c r="O297" s="95">
        <f t="shared" si="45"/>
        <v>533.25</v>
      </c>
      <c r="P297" s="95">
        <f t="shared" si="46"/>
        <v>66.416666666666686</v>
      </c>
      <c r="Q297" s="99">
        <f t="shared" si="47"/>
        <v>0.14227061763655841</v>
      </c>
    </row>
    <row r="298" spans="1:17" x14ac:dyDescent="0.2">
      <c r="B298" t="s">
        <v>225</v>
      </c>
      <c r="C298">
        <v>519</v>
      </c>
      <c r="D298">
        <v>507</v>
      </c>
      <c r="E298">
        <v>516</v>
      </c>
      <c r="F298">
        <v>509</v>
      </c>
      <c r="G298">
        <v>495</v>
      </c>
      <c r="H298">
        <v>503</v>
      </c>
      <c r="I298">
        <v>484</v>
      </c>
      <c r="J298">
        <v>484</v>
      </c>
      <c r="K298">
        <v>477</v>
      </c>
      <c r="L298">
        <v>470</v>
      </c>
      <c r="M298">
        <v>474</v>
      </c>
      <c r="N298">
        <v>464</v>
      </c>
      <c r="O298" s="95">
        <f t="shared" si="45"/>
        <v>491.83333333333331</v>
      </c>
      <c r="P298" s="95">
        <f t="shared" si="46"/>
        <v>-41.416666666666686</v>
      </c>
      <c r="Q298" s="99">
        <f t="shared" si="47"/>
        <v>-7.7668385685263353E-2</v>
      </c>
    </row>
    <row r="299" spans="1:17" x14ac:dyDescent="0.2">
      <c r="B299" t="s">
        <v>230</v>
      </c>
      <c r="C299">
        <v>472</v>
      </c>
      <c r="D299">
        <v>489</v>
      </c>
      <c r="E299">
        <v>468</v>
      </c>
      <c r="F299">
        <v>461</v>
      </c>
      <c r="G299">
        <v>460</v>
      </c>
      <c r="H299">
        <v>449</v>
      </c>
      <c r="I299">
        <v>436</v>
      </c>
      <c r="J299">
        <v>442</v>
      </c>
      <c r="K299">
        <v>445</v>
      </c>
      <c r="L299">
        <v>458</v>
      </c>
      <c r="M299">
        <v>472</v>
      </c>
      <c r="N299">
        <v>480</v>
      </c>
      <c r="O299" s="95">
        <f t="shared" si="45"/>
        <v>461</v>
      </c>
      <c r="P299" s="95">
        <f t="shared" si="46"/>
        <v>-30.833333333333314</v>
      </c>
      <c r="Q299" s="99">
        <f t="shared" si="47"/>
        <v>-6.2690613351406271E-2</v>
      </c>
    </row>
    <row r="300" spans="1:17" x14ac:dyDescent="0.2">
      <c r="B300" t="s">
        <v>234</v>
      </c>
      <c r="C300">
        <v>478</v>
      </c>
      <c r="D300">
        <v>478</v>
      </c>
      <c r="E300">
        <v>474</v>
      </c>
      <c r="F300">
        <v>493</v>
      </c>
      <c r="G300">
        <v>488</v>
      </c>
      <c r="H300">
        <v>495</v>
      </c>
      <c r="I300">
        <v>507</v>
      </c>
      <c r="J300">
        <v>499</v>
      </c>
      <c r="K300">
        <v>500</v>
      </c>
      <c r="L300">
        <v>518</v>
      </c>
      <c r="M300">
        <v>540</v>
      </c>
      <c r="N300">
        <v>551</v>
      </c>
      <c r="O300" s="95">
        <f t="shared" si="45"/>
        <v>501.75</v>
      </c>
      <c r="P300" s="95">
        <f t="shared" si="46"/>
        <v>40.75</v>
      </c>
      <c r="Q300" s="99">
        <f t="shared" si="47"/>
        <v>8.8394793926247286E-2</v>
      </c>
    </row>
    <row r="301" spans="1:17" x14ac:dyDescent="0.2">
      <c r="B301" t="s">
        <v>235</v>
      </c>
      <c r="C301">
        <v>551</v>
      </c>
      <c r="D301">
        <v>536</v>
      </c>
      <c r="E301">
        <v>521</v>
      </c>
      <c r="F301">
        <v>522</v>
      </c>
      <c r="G301">
        <v>527</v>
      </c>
      <c r="H301">
        <v>545</v>
      </c>
      <c r="I301">
        <v>548</v>
      </c>
      <c r="J301">
        <v>549</v>
      </c>
      <c r="K301">
        <v>549</v>
      </c>
      <c r="L301">
        <v>650</v>
      </c>
      <c r="M301">
        <v>666</v>
      </c>
      <c r="N301">
        <v>591</v>
      </c>
      <c r="O301" s="95">
        <f t="shared" si="45"/>
        <v>562.91666666666663</v>
      </c>
      <c r="P301" s="95">
        <f t="shared" si="46"/>
        <v>61.166666666666629</v>
      </c>
      <c r="Q301" s="99">
        <f t="shared" si="47"/>
        <v>0.12190666002325187</v>
      </c>
    </row>
    <row r="302" spans="1:17" x14ac:dyDescent="0.2">
      <c r="B302" t="s">
        <v>236</v>
      </c>
      <c r="C302">
        <v>596</v>
      </c>
      <c r="D302">
        <v>617</v>
      </c>
      <c r="E302">
        <v>722</v>
      </c>
      <c r="F302">
        <v>657</v>
      </c>
      <c r="G302">
        <v>723</v>
      </c>
      <c r="H302">
        <v>717</v>
      </c>
      <c r="I302">
        <v>729</v>
      </c>
      <c r="J302">
        <v>730</v>
      </c>
      <c r="K302">
        <v>721</v>
      </c>
      <c r="L302">
        <v>721</v>
      </c>
      <c r="M302">
        <v>754</v>
      </c>
      <c r="N302">
        <v>770</v>
      </c>
      <c r="O302" s="95">
        <f t="shared" si="45"/>
        <v>704.75</v>
      </c>
      <c r="P302" s="95">
        <f t="shared" si="46"/>
        <v>141.83333333333337</v>
      </c>
      <c r="Q302" s="99">
        <f t="shared" si="47"/>
        <v>0.25196150999259814</v>
      </c>
    </row>
    <row r="303" spans="1:17" x14ac:dyDescent="0.2">
      <c r="B303" t="s">
        <v>237</v>
      </c>
      <c r="C303">
        <v>711</v>
      </c>
      <c r="D303">
        <v>710</v>
      </c>
      <c r="E303">
        <v>721</v>
      </c>
      <c r="F303">
        <v>726</v>
      </c>
      <c r="G303">
        <v>736</v>
      </c>
      <c r="H303">
        <v>731</v>
      </c>
      <c r="I303">
        <v>722</v>
      </c>
      <c r="J303">
        <v>719</v>
      </c>
      <c r="K303">
        <v>722</v>
      </c>
      <c r="L303">
        <v>750</v>
      </c>
      <c r="M303">
        <v>759</v>
      </c>
      <c r="N303">
        <v>764</v>
      </c>
      <c r="O303" s="95">
        <f t="shared" si="45"/>
        <v>730.91666666666663</v>
      </c>
      <c r="P303" s="95">
        <f t="shared" si="46"/>
        <v>26.166666666666629</v>
      </c>
      <c r="Q303" s="99">
        <f t="shared" si="47"/>
        <v>3.7129005557526254E-2</v>
      </c>
    </row>
    <row r="304" spans="1:17" x14ac:dyDescent="0.2">
      <c r="B304" t="s">
        <v>261</v>
      </c>
      <c r="C304">
        <v>750</v>
      </c>
      <c r="D304">
        <v>743</v>
      </c>
      <c r="E304">
        <v>732</v>
      </c>
      <c r="F304">
        <v>728</v>
      </c>
      <c r="G304">
        <v>713</v>
      </c>
      <c r="H304">
        <v>774</v>
      </c>
      <c r="I304">
        <v>746</v>
      </c>
      <c r="J304">
        <v>760</v>
      </c>
      <c r="K304">
        <v>768</v>
      </c>
      <c r="L304">
        <v>783</v>
      </c>
      <c r="M304">
        <v>769</v>
      </c>
      <c r="N304">
        <v>766</v>
      </c>
      <c r="O304" s="95">
        <f t="shared" si="45"/>
        <v>752.66666666666663</v>
      </c>
      <c r="P304" s="95">
        <f t="shared" si="46"/>
        <v>21.75</v>
      </c>
      <c r="Q304" s="99">
        <f t="shared" si="47"/>
        <v>2.9757154258351386E-2</v>
      </c>
    </row>
    <row r="305" spans="1:18" x14ac:dyDescent="0.2">
      <c r="B305" t="s">
        <v>280</v>
      </c>
      <c r="C305">
        <v>793</v>
      </c>
      <c r="D305">
        <v>763</v>
      </c>
      <c r="E305">
        <v>771</v>
      </c>
      <c r="F305">
        <v>782</v>
      </c>
      <c r="G305">
        <v>756</v>
      </c>
      <c r="H305">
        <v>768</v>
      </c>
      <c r="I305">
        <v>763</v>
      </c>
      <c r="J305">
        <v>762</v>
      </c>
      <c r="K305">
        <v>773</v>
      </c>
      <c r="L305">
        <v>776</v>
      </c>
      <c r="M305">
        <v>743</v>
      </c>
      <c r="N305">
        <v>744</v>
      </c>
      <c r="O305" s="95">
        <f t="shared" si="45"/>
        <v>766.16666666666663</v>
      </c>
      <c r="P305" s="95">
        <f t="shared" si="46"/>
        <v>13.5</v>
      </c>
      <c r="Q305" s="99">
        <f t="shared" si="47"/>
        <v>1.7936226749335697E-2</v>
      </c>
    </row>
    <row r="306" spans="1:18" x14ac:dyDescent="0.2">
      <c r="B306" t="s">
        <v>323</v>
      </c>
      <c r="C306">
        <v>746</v>
      </c>
      <c r="D306">
        <v>738</v>
      </c>
      <c r="E306">
        <v>726</v>
      </c>
      <c r="F306">
        <v>723</v>
      </c>
      <c r="G306">
        <v>723</v>
      </c>
      <c r="H306">
        <v>711</v>
      </c>
      <c r="I306">
        <v>722</v>
      </c>
      <c r="J306">
        <v>715</v>
      </c>
      <c r="K306">
        <v>701</v>
      </c>
      <c r="L306">
        <v>696</v>
      </c>
      <c r="M306">
        <v>716</v>
      </c>
      <c r="N306">
        <v>722</v>
      </c>
      <c r="O306" s="95">
        <f t="shared" si="45"/>
        <v>719.91666666666663</v>
      </c>
      <c r="P306" s="95">
        <f t="shared" si="46"/>
        <v>-46.25</v>
      </c>
      <c r="Q306" s="99">
        <f t="shared" si="47"/>
        <v>-6.0365455731999133E-2</v>
      </c>
    </row>
    <row r="307" spans="1:18" x14ac:dyDescent="0.2">
      <c r="B307" t="s">
        <v>348</v>
      </c>
      <c r="C307">
        <v>720</v>
      </c>
      <c r="D307">
        <v>754</v>
      </c>
      <c r="E307">
        <v>702</v>
      </c>
      <c r="F307">
        <v>720</v>
      </c>
      <c r="G307">
        <v>705</v>
      </c>
      <c r="H307">
        <v>715</v>
      </c>
      <c r="I307">
        <v>712</v>
      </c>
      <c r="J307">
        <v>720</v>
      </c>
      <c r="K307">
        <v>712</v>
      </c>
      <c r="L307">
        <v>709</v>
      </c>
      <c r="M307">
        <v>704</v>
      </c>
      <c r="N307">
        <v>720</v>
      </c>
      <c r="O307" s="95">
        <f t="shared" si="45"/>
        <v>716.08333333333337</v>
      </c>
      <c r="P307" s="95">
        <f t="shared" si="46"/>
        <v>-3.8333333333332575</v>
      </c>
      <c r="Q307" s="99">
        <f t="shared" si="47"/>
        <v>-5.3246903576801823E-3</v>
      </c>
    </row>
    <row r="308" spans="1:18" x14ac:dyDescent="0.2">
      <c r="B308" t="s">
        <v>401</v>
      </c>
      <c r="C308">
        <v>726</v>
      </c>
      <c r="D308">
        <v>712</v>
      </c>
      <c r="E308">
        <v>724</v>
      </c>
      <c r="F308">
        <v>708</v>
      </c>
      <c r="G308">
        <v>701</v>
      </c>
      <c r="H308">
        <v>715</v>
      </c>
      <c r="I308">
        <v>708</v>
      </c>
      <c r="J308">
        <v>702</v>
      </c>
      <c r="K308">
        <v>695</v>
      </c>
      <c r="L308">
        <v>713</v>
      </c>
      <c r="M308">
        <v>720</v>
      </c>
      <c r="N308">
        <v>732</v>
      </c>
      <c r="O308" s="95">
        <f t="shared" si="45"/>
        <v>713</v>
      </c>
      <c r="P308" s="95">
        <f t="shared" si="46"/>
        <v>-3.0833333333333712</v>
      </c>
      <c r="Q308" s="99">
        <f t="shared" si="47"/>
        <v>-4.3058303270104101E-3</v>
      </c>
    </row>
    <row r="309" spans="1:18" x14ac:dyDescent="0.2">
      <c r="B309" t="s">
        <v>414</v>
      </c>
      <c r="C309">
        <v>712</v>
      </c>
      <c r="D309">
        <v>705</v>
      </c>
      <c r="E309">
        <v>689</v>
      </c>
      <c r="F309">
        <v>668</v>
      </c>
      <c r="G309">
        <v>662</v>
      </c>
      <c r="H309">
        <v>644</v>
      </c>
      <c r="I309">
        <v>641</v>
      </c>
      <c r="J309">
        <v>629</v>
      </c>
      <c r="K309">
        <v>652</v>
      </c>
      <c r="L309">
        <v>643</v>
      </c>
      <c r="M309">
        <v>652</v>
      </c>
      <c r="N309">
        <v>662</v>
      </c>
      <c r="O309" s="95">
        <f t="shared" si="45"/>
        <v>663.25</v>
      </c>
      <c r="P309" s="95">
        <f t="shared" ref="P309:P315" si="48">SUM(O309-O308)</f>
        <v>-49.75</v>
      </c>
      <c r="Q309" s="99">
        <f t="shared" si="47"/>
        <v>-6.9775596072931281E-2</v>
      </c>
    </row>
    <row r="310" spans="1:18" x14ac:dyDescent="0.2">
      <c r="B310" t="s">
        <v>415</v>
      </c>
      <c r="C310">
        <v>637</v>
      </c>
      <c r="D310">
        <v>640</v>
      </c>
      <c r="E310">
        <v>638</v>
      </c>
      <c r="F310">
        <v>629</v>
      </c>
      <c r="G310">
        <v>627</v>
      </c>
      <c r="H310">
        <v>647</v>
      </c>
      <c r="I310">
        <v>651</v>
      </c>
      <c r="J310">
        <v>655</v>
      </c>
      <c r="K310">
        <v>640</v>
      </c>
      <c r="L310">
        <v>632</v>
      </c>
      <c r="M310">
        <v>641</v>
      </c>
      <c r="N310">
        <v>644</v>
      </c>
      <c r="O310" s="95">
        <f t="shared" si="45"/>
        <v>640.08333333333337</v>
      </c>
      <c r="P310" s="95">
        <f t="shared" si="48"/>
        <v>-23.166666666666629</v>
      </c>
      <c r="Q310" s="99">
        <f t="shared" si="47"/>
        <v>-3.4929011182309282E-2</v>
      </c>
    </row>
    <row r="311" spans="1:18" x14ac:dyDescent="0.2">
      <c r="B311" t="s">
        <v>626</v>
      </c>
      <c r="C311">
        <v>644</v>
      </c>
      <c r="D311">
        <v>637</v>
      </c>
      <c r="E311">
        <v>610</v>
      </c>
      <c r="F311">
        <v>579</v>
      </c>
      <c r="G311">
        <v>646</v>
      </c>
      <c r="H311">
        <v>640</v>
      </c>
      <c r="I311">
        <v>640</v>
      </c>
      <c r="J311">
        <v>610</v>
      </c>
      <c r="K311">
        <v>588</v>
      </c>
      <c r="L311">
        <v>582</v>
      </c>
      <c r="M311">
        <v>580</v>
      </c>
      <c r="N311">
        <v>582</v>
      </c>
      <c r="O311" s="95">
        <f t="shared" si="45"/>
        <v>611.5</v>
      </c>
      <c r="P311" s="95">
        <f t="shared" si="48"/>
        <v>-28.583333333333371</v>
      </c>
      <c r="Q311" s="99">
        <f t="shared" si="47"/>
        <v>-4.4655643796380734E-2</v>
      </c>
    </row>
    <row r="312" spans="1:18" x14ac:dyDescent="0.2">
      <c r="B312" t="s">
        <v>627</v>
      </c>
      <c r="C312">
        <v>581</v>
      </c>
      <c r="D312">
        <v>542</v>
      </c>
      <c r="E312">
        <v>514</v>
      </c>
      <c r="F312">
        <v>511</v>
      </c>
      <c r="G312">
        <v>493</v>
      </c>
      <c r="H312">
        <v>490</v>
      </c>
      <c r="I312">
        <v>475</v>
      </c>
      <c r="J312">
        <v>454</v>
      </c>
      <c r="K312">
        <v>449</v>
      </c>
      <c r="L312">
        <v>436</v>
      </c>
      <c r="M312">
        <v>443</v>
      </c>
      <c r="N312">
        <v>406</v>
      </c>
      <c r="O312" s="95">
        <f t="shared" si="45"/>
        <v>482.83333333333331</v>
      </c>
      <c r="P312" s="95">
        <f t="shared" si="48"/>
        <v>-128.66666666666669</v>
      </c>
      <c r="Q312" s="99">
        <f t="shared" si="47"/>
        <v>-0.2104115562823658</v>
      </c>
    </row>
    <row r="313" spans="1:18" x14ac:dyDescent="0.2">
      <c r="B313" t="s">
        <v>674</v>
      </c>
      <c r="C313">
        <v>394</v>
      </c>
      <c r="D313">
        <v>390</v>
      </c>
      <c r="E313">
        <v>412</v>
      </c>
      <c r="F313">
        <v>393</v>
      </c>
      <c r="G313">
        <v>374</v>
      </c>
      <c r="H313">
        <v>361</v>
      </c>
      <c r="I313">
        <v>364</v>
      </c>
      <c r="J313">
        <v>367</v>
      </c>
      <c r="K313">
        <v>373</v>
      </c>
      <c r="L313">
        <v>383</v>
      </c>
      <c r="M313">
        <v>401</v>
      </c>
      <c r="N313">
        <v>376</v>
      </c>
      <c r="O313" s="95">
        <f t="shared" si="45"/>
        <v>382.33333333333331</v>
      </c>
      <c r="P313" s="95">
        <f t="shared" si="48"/>
        <v>-100.5</v>
      </c>
      <c r="Q313" s="99">
        <f t="shared" si="47"/>
        <v>-0.20814635830169143</v>
      </c>
    </row>
    <row r="314" spans="1:18" x14ac:dyDescent="0.2">
      <c r="B314" s="477" t="s">
        <v>692</v>
      </c>
      <c r="C314">
        <v>424</v>
      </c>
      <c r="D314">
        <v>436</v>
      </c>
      <c r="E314">
        <v>469</v>
      </c>
      <c r="F314">
        <v>392</v>
      </c>
      <c r="G314">
        <v>397</v>
      </c>
      <c r="H314">
        <v>380</v>
      </c>
      <c r="I314">
        <v>372</v>
      </c>
      <c r="J314">
        <v>382</v>
      </c>
      <c r="K314">
        <v>385</v>
      </c>
      <c r="L314">
        <v>383</v>
      </c>
      <c r="M314">
        <v>398</v>
      </c>
      <c r="N314">
        <v>395</v>
      </c>
      <c r="O314" s="95">
        <f t="shared" si="45"/>
        <v>401.08333333333331</v>
      </c>
      <c r="P314" s="95">
        <f t="shared" si="48"/>
        <v>18.75</v>
      </c>
      <c r="Q314" s="99">
        <f t="shared" si="47"/>
        <v>4.9040976460331301E-2</v>
      </c>
      <c r="R314" t="s">
        <v>702</v>
      </c>
    </row>
    <row r="315" spans="1:18" x14ac:dyDescent="0.2">
      <c r="B315" s="477" t="s">
        <v>700</v>
      </c>
      <c r="C315">
        <v>395</v>
      </c>
      <c r="D315">
        <v>379</v>
      </c>
      <c r="E315">
        <v>375</v>
      </c>
      <c r="F315">
        <v>368</v>
      </c>
      <c r="G315">
        <v>361</v>
      </c>
      <c r="H315">
        <v>352</v>
      </c>
      <c r="I315">
        <v>371</v>
      </c>
      <c r="J315">
        <v>378</v>
      </c>
      <c r="K315">
        <v>391</v>
      </c>
      <c r="L315">
        <v>390</v>
      </c>
      <c r="M315">
        <v>385</v>
      </c>
      <c r="N315">
        <v>373</v>
      </c>
      <c r="O315" s="95">
        <f t="shared" si="45"/>
        <v>376.5</v>
      </c>
      <c r="P315" s="95">
        <f t="shared" si="48"/>
        <v>-24.583333333333314</v>
      </c>
      <c r="Q315" s="99">
        <f t="shared" si="47"/>
        <v>-6.1292333264076418E-2</v>
      </c>
    </row>
    <row r="316" spans="1:18" x14ac:dyDescent="0.2">
      <c r="B316" s="477" t="s">
        <v>737</v>
      </c>
      <c r="C316">
        <v>372</v>
      </c>
      <c r="D316">
        <v>377</v>
      </c>
      <c r="E316">
        <v>374</v>
      </c>
      <c r="F316">
        <v>374</v>
      </c>
      <c r="G316">
        <v>359</v>
      </c>
      <c r="H316">
        <v>368</v>
      </c>
      <c r="I316">
        <v>355</v>
      </c>
      <c r="J316">
        <v>358</v>
      </c>
      <c r="K316">
        <v>356</v>
      </c>
      <c r="L316">
        <v>360</v>
      </c>
      <c r="M316">
        <v>362</v>
      </c>
      <c r="N316">
        <v>363</v>
      </c>
      <c r="O316" s="95">
        <f t="shared" si="45"/>
        <v>364.83333333333331</v>
      </c>
      <c r="P316" s="95">
        <f>SUM(O316-O315)</f>
        <v>-11.666666666666686</v>
      </c>
      <c r="Q316" s="99">
        <f>SUM(P316/O315)</f>
        <v>-3.0987162461266097E-2</v>
      </c>
    </row>
    <row r="317" spans="1:18" x14ac:dyDescent="0.2">
      <c r="B317" s="477" t="s">
        <v>792</v>
      </c>
      <c r="C317">
        <v>370</v>
      </c>
      <c r="D317">
        <v>382</v>
      </c>
      <c r="E317">
        <v>380</v>
      </c>
      <c r="F317">
        <v>383</v>
      </c>
      <c r="G317">
        <v>383</v>
      </c>
      <c r="H317">
        <v>395</v>
      </c>
      <c r="I317">
        <v>406</v>
      </c>
      <c r="J317">
        <v>401</v>
      </c>
      <c r="K317">
        <v>408</v>
      </c>
      <c r="L317">
        <v>391</v>
      </c>
      <c r="M317">
        <v>398</v>
      </c>
      <c r="N317">
        <v>403</v>
      </c>
      <c r="O317" s="95">
        <f t="shared" si="45"/>
        <v>391.66666666666669</v>
      </c>
      <c r="P317" s="95">
        <f>SUM(O317-O316)</f>
        <v>26.833333333333371</v>
      </c>
      <c r="Q317" s="99">
        <f>SUM(P317/O316)</f>
        <v>7.3549566011877676E-2</v>
      </c>
    </row>
    <row r="318" spans="1:18" x14ac:dyDescent="0.2">
      <c r="B318" s="477" t="s">
        <v>959</v>
      </c>
      <c r="C318">
        <v>427</v>
      </c>
      <c r="D318">
        <v>446</v>
      </c>
      <c r="E318">
        <v>433</v>
      </c>
      <c r="F318">
        <v>438</v>
      </c>
      <c r="G318">
        <v>424</v>
      </c>
      <c r="H318">
        <v>424</v>
      </c>
      <c r="I318">
        <v>408</v>
      </c>
      <c r="J318">
        <v>394</v>
      </c>
      <c r="K318">
        <v>382</v>
      </c>
      <c r="L318">
        <v>379</v>
      </c>
      <c r="M318">
        <v>396</v>
      </c>
      <c r="N318">
        <v>398</v>
      </c>
      <c r="O318" s="95">
        <f t="shared" si="45"/>
        <v>412.41666666666669</v>
      </c>
      <c r="P318" s="95">
        <f>SUM(O318-O317)</f>
        <v>20.75</v>
      </c>
      <c r="Q318" s="99">
        <f>SUM(P318/O317)</f>
        <v>5.2978723404255315E-2</v>
      </c>
    </row>
    <row r="319" spans="1:18" x14ac:dyDescent="0.2">
      <c r="A319" s="381"/>
      <c r="B319" s="381"/>
      <c r="C319" s="381"/>
      <c r="D319" s="381"/>
      <c r="E319" s="381"/>
      <c r="F319" s="381"/>
      <c r="G319" s="381"/>
      <c r="H319" s="381"/>
      <c r="I319" s="381"/>
      <c r="J319" s="381"/>
      <c r="K319" s="381"/>
      <c r="L319" s="381"/>
      <c r="M319" s="381"/>
      <c r="N319" s="381"/>
      <c r="O319" s="381"/>
      <c r="P319" s="381"/>
      <c r="Q319" s="381"/>
    </row>
    <row r="320" spans="1:18" ht="38.25" x14ac:dyDescent="0.2">
      <c r="A320" s="97" t="s">
        <v>336</v>
      </c>
      <c r="B320" s="98" t="s">
        <v>304</v>
      </c>
      <c r="C320" s="100" t="s">
        <v>305</v>
      </c>
      <c r="D320" s="100" t="s">
        <v>306</v>
      </c>
      <c r="E320" s="100" t="s">
        <v>307</v>
      </c>
      <c r="F320" s="100" t="s">
        <v>308</v>
      </c>
      <c r="G320" s="100" t="s">
        <v>309</v>
      </c>
      <c r="H320" s="100" t="s">
        <v>310</v>
      </c>
      <c r="I320" s="100" t="s">
        <v>311</v>
      </c>
      <c r="J320" s="100" t="s">
        <v>312</v>
      </c>
      <c r="K320" s="100" t="s">
        <v>313</v>
      </c>
      <c r="L320" s="100" t="s">
        <v>314</v>
      </c>
      <c r="M320" s="100" t="s">
        <v>315</v>
      </c>
      <c r="N320" s="100" t="s">
        <v>316</v>
      </c>
    </row>
    <row r="321" spans="2:18" x14ac:dyDescent="0.2">
      <c r="B321" t="s">
        <v>320</v>
      </c>
      <c r="C321">
        <v>51</v>
      </c>
      <c r="D321">
        <v>44</v>
      </c>
      <c r="E321">
        <v>43</v>
      </c>
      <c r="F321">
        <v>39</v>
      </c>
      <c r="G321">
        <v>39</v>
      </c>
      <c r="H321">
        <v>39</v>
      </c>
      <c r="I321">
        <v>43</v>
      </c>
      <c r="J321">
        <v>41</v>
      </c>
      <c r="K321">
        <v>42</v>
      </c>
      <c r="L321">
        <v>42</v>
      </c>
      <c r="M321">
        <v>43</v>
      </c>
      <c r="N321">
        <v>40</v>
      </c>
      <c r="O321" s="95">
        <f t="shared" ref="O321:O345" si="49">SUM(C321:N321)/12</f>
        <v>42.166666666666664</v>
      </c>
      <c r="P321" s="95"/>
    </row>
    <row r="322" spans="2:18" x14ac:dyDescent="0.2">
      <c r="B322" t="s">
        <v>321</v>
      </c>
      <c r="C322">
        <v>43</v>
      </c>
      <c r="D322">
        <v>47</v>
      </c>
      <c r="E322">
        <v>47</v>
      </c>
      <c r="F322">
        <v>51</v>
      </c>
      <c r="G322">
        <v>46</v>
      </c>
      <c r="H322">
        <v>44</v>
      </c>
      <c r="I322">
        <v>48</v>
      </c>
      <c r="J322">
        <v>41</v>
      </c>
      <c r="K322">
        <v>47</v>
      </c>
      <c r="L322">
        <v>44</v>
      </c>
      <c r="M322">
        <v>43</v>
      </c>
      <c r="N322">
        <v>46</v>
      </c>
      <c r="O322" s="95">
        <f t="shared" si="49"/>
        <v>45.583333333333336</v>
      </c>
      <c r="P322" s="95">
        <f t="shared" ref="P322:P335" si="50">SUM(O322-O321)</f>
        <v>3.4166666666666714</v>
      </c>
      <c r="Q322" s="99">
        <f t="shared" ref="Q322:Q342" si="51">SUM(P322/O321)</f>
        <v>8.1027667984189838E-2</v>
      </c>
    </row>
    <row r="323" spans="2:18" x14ac:dyDescent="0.2">
      <c r="B323" t="s">
        <v>322</v>
      </c>
      <c r="C323">
        <v>45</v>
      </c>
      <c r="D323">
        <v>49</v>
      </c>
      <c r="E323">
        <v>48</v>
      </c>
      <c r="F323">
        <v>51</v>
      </c>
      <c r="G323">
        <v>51</v>
      </c>
      <c r="H323">
        <v>46</v>
      </c>
      <c r="I323">
        <v>49</v>
      </c>
      <c r="J323">
        <v>45</v>
      </c>
      <c r="K323">
        <v>46</v>
      </c>
      <c r="L323">
        <v>47</v>
      </c>
      <c r="M323">
        <v>48</v>
      </c>
      <c r="N323">
        <v>49</v>
      </c>
      <c r="O323" s="95">
        <f t="shared" si="49"/>
        <v>47.833333333333336</v>
      </c>
      <c r="P323" s="95">
        <f t="shared" si="50"/>
        <v>2.25</v>
      </c>
      <c r="Q323" s="99">
        <f t="shared" si="51"/>
        <v>4.9360146252285186E-2</v>
      </c>
      <c r="R323" s="99"/>
    </row>
    <row r="324" spans="2:18" x14ac:dyDescent="0.2">
      <c r="B324" t="s">
        <v>226</v>
      </c>
      <c r="C324">
        <v>35</v>
      </c>
      <c r="D324">
        <v>35</v>
      </c>
      <c r="E324">
        <v>36</v>
      </c>
      <c r="F324">
        <v>39</v>
      </c>
      <c r="G324">
        <v>39</v>
      </c>
      <c r="H324">
        <v>43</v>
      </c>
      <c r="I324">
        <v>47</v>
      </c>
      <c r="J324">
        <v>45</v>
      </c>
      <c r="K324">
        <v>47</v>
      </c>
      <c r="L324">
        <v>51</v>
      </c>
      <c r="M324">
        <v>47</v>
      </c>
      <c r="N324">
        <v>45</v>
      </c>
      <c r="O324" s="95">
        <f t="shared" si="49"/>
        <v>42.416666666666664</v>
      </c>
      <c r="P324" s="95">
        <f t="shared" si="50"/>
        <v>-5.4166666666666714</v>
      </c>
      <c r="Q324" s="99">
        <f t="shared" si="51"/>
        <v>-0.113240418118467</v>
      </c>
    </row>
    <row r="325" spans="2:18" x14ac:dyDescent="0.2">
      <c r="B325" t="s">
        <v>225</v>
      </c>
      <c r="C325">
        <v>55</v>
      </c>
      <c r="D325">
        <v>51</v>
      </c>
      <c r="E325">
        <v>49</v>
      </c>
      <c r="F325">
        <v>51</v>
      </c>
      <c r="G325">
        <v>52</v>
      </c>
      <c r="H325">
        <v>54</v>
      </c>
      <c r="I325">
        <v>55</v>
      </c>
      <c r="J325">
        <v>55</v>
      </c>
      <c r="K325">
        <v>42</v>
      </c>
      <c r="L325">
        <v>38</v>
      </c>
      <c r="M325">
        <v>85</v>
      </c>
      <c r="N325">
        <v>81</v>
      </c>
      <c r="O325" s="95">
        <f t="shared" si="49"/>
        <v>55.666666666666664</v>
      </c>
      <c r="P325" s="95">
        <f t="shared" si="50"/>
        <v>13.25</v>
      </c>
      <c r="Q325" s="99">
        <f t="shared" si="51"/>
        <v>0.31237721021611004</v>
      </c>
    </row>
    <row r="326" spans="2:18" x14ac:dyDescent="0.2">
      <c r="B326" t="s">
        <v>230</v>
      </c>
      <c r="C326">
        <v>81</v>
      </c>
      <c r="D326">
        <v>81</v>
      </c>
      <c r="E326">
        <v>74</v>
      </c>
      <c r="F326">
        <v>79</v>
      </c>
      <c r="G326">
        <v>77</v>
      </c>
      <c r="H326">
        <v>77</v>
      </c>
      <c r="I326">
        <v>74</v>
      </c>
      <c r="J326">
        <v>74</v>
      </c>
      <c r="K326">
        <v>74</v>
      </c>
      <c r="L326">
        <v>75</v>
      </c>
      <c r="M326">
        <v>75</v>
      </c>
      <c r="N326">
        <v>76</v>
      </c>
      <c r="O326" s="95">
        <f t="shared" si="49"/>
        <v>76.416666666666671</v>
      </c>
      <c r="P326" s="95">
        <f t="shared" si="50"/>
        <v>20.750000000000007</v>
      </c>
      <c r="Q326" s="99">
        <f t="shared" si="51"/>
        <v>0.37275449101796421</v>
      </c>
    </row>
    <row r="327" spans="2:18" x14ac:dyDescent="0.2">
      <c r="B327" t="s">
        <v>234</v>
      </c>
      <c r="C327">
        <v>78</v>
      </c>
      <c r="D327">
        <v>76</v>
      </c>
      <c r="E327">
        <v>80</v>
      </c>
      <c r="F327">
        <v>81</v>
      </c>
      <c r="G327">
        <v>77</v>
      </c>
      <c r="H327">
        <v>76</v>
      </c>
      <c r="I327">
        <v>74</v>
      </c>
      <c r="J327">
        <v>76</v>
      </c>
      <c r="K327">
        <v>71</v>
      </c>
      <c r="L327">
        <v>71</v>
      </c>
      <c r="M327">
        <v>74</v>
      </c>
      <c r="N327">
        <v>75</v>
      </c>
      <c r="O327" s="95">
        <f t="shared" si="49"/>
        <v>75.75</v>
      </c>
      <c r="P327" s="95">
        <f t="shared" si="50"/>
        <v>-0.6666666666666714</v>
      </c>
      <c r="Q327" s="99">
        <f t="shared" si="51"/>
        <v>-8.7241003271538234E-3</v>
      </c>
    </row>
    <row r="328" spans="2:18" x14ac:dyDescent="0.2">
      <c r="B328" t="s">
        <v>235</v>
      </c>
      <c r="C328">
        <v>75</v>
      </c>
      <c r="D328">
        <v>74</v>
      </c>
      <c r="E328">
        <v>73</v>
      </c>
      <c r="F328">
        <v>72</v>
      </c>
      <c r="G328">
        <v>75</v>
      </c>
      <c r="H328">
        <v>74</v>
      </c>
      <c r="I328">
        <v>73</v>
      </c>
      <c r="J328">
        <v>73</v>
      </c>
      <c r="K328">
        <v>71</v>
      </c>
      <c r="L328">
        <v>84</v>
      </c>
      <c r="M328">
        <v>79</v>
      </c>
      <c r="N328">
        <v>74</v>
      </c>
      <c r="O328" s="95">
        <f t="shared" si="49"/>
        <v>74.75</v>
      </c>
      <c r="P328" s="95">
        <f t="shared" si="50"/>
        <v>-1</v>
      </c>
      <c r="Q328" s="99">
        <f t="shared" si="51"/>
        <v>-1.3201320132013201E-2</v>
      </c>
    </row>
    <row r="329" spans="2:18" x14ac:dyDescent="0.2">
      <c r="B329" t="s">
        <v>236</v>
      </c>
      <c r="C329">
        <v>70</v>
      </c>
      <c r="D329">
        <v>68</v>
      </c>
      <c r="E329">
        <v>80</v>
      </c>
      <c r="F329">
        <v>73</v>
      </c>
      <c r="G329">
        <v>82</v>
      </c>
      <c r="H329">
        <v>81</v>
      </c>
      <c r="I329">
        <v>83</v>
      </c>
      <c r="J329">
        <v>80</v>
      </c>
      <c r="K329">
        <v>78</v>
      </c>
      <c r="L329">
        <v>78</v>
      </c>
      <c r="M329">
        <v>78</v>
      </c>
      <c r="N329">
        <v>86</v>
      </c>
      <c r="O329" s="95">
        <f t="shared" si="49"/>
        <v>78.083333333333329</v>
      </c>
      <c r="P329" s="95">
        <f t="shared" si="50"/>
        <v>3.3333333333333286</v>
      </c>
      <c r="Q329" s="99">
        <f t="shared" si="51"/>
        <v>4.4593088071348874E-2</v>
      </c>
    </row>
    <row r="330" spans="2:18" x14ac:dyDescent="0.2">
      <c r="B330" t="s">
        <v>237</v>
      </c>
      <c r="C330">
        <v>75</v>
      </c>
      <c r="D330">
        <v>74</v>
      </c>
      <c r="E330">
        <v>79</v>
      </c>
      <c r="F330">
        <v>77</v>
      </c>
      <c r="G330">
        <v>75</v>
      </c>
      <c r="H330">
        <v>66</v>
      </c>
      <c r="I330">
        <v>64</v>
      </c>
      <c r="J330">
        <v>64</v>
      </c>
      <c r="K330">
        <v>47</v>
      </c>
      <c r="L330">
        <v>47</v>
      </c>
      <c r="M330">
        <v>45</v>
      </c>
      <c r="N330">
        <v>47</v>
      </c>
      <c r="O330" s="95">
        <f t="shared" si="49"/>
        <v>63.333333333333336</v>
      </c>
      <c r="P330" s="95">
        <f t="shared" si="50"/>
        <v>-14.749999999999993</v>
      </c>
      <c r="Q330" s="99">
        <f t="shared" si="51"/>
        <v>-0.18890074706510132</v>
      </c>
    </row>
    <row r="331" spans="2:18" x14ac:dyDescent="0.2">
      <c r="B331" t="s">
        <v>261</v>
      </c>
      <c r="C331">
        <v>42</v>
      </c>
      <c r="D331">
        <v>43</v>
      </c>
      <c r="E331">
        <v>41</v>
      </c>
      <c r="F331">
        <v>41</v>
      </c>
      <c r="G331">
        <v>38</v>
      </c>
      <c r="H331">
        <v>54</v>
      </c>
      <c r="I331">
        <v>60</v>
      </c>
      <c r="J331">
        <v>53</v>
      </c>
      <c r="K331">
        <v>57</v>
      </c>
      <c r="L331">
        <v>45</v>
      </c>
      <c r="M331">
        <v>48</v>
      </c>
      <c r="N331">
        <v>49</v>
      </c>
      <c r="O331" s="95">
        <f t="shared" si="49"/>
        <v>47.583333333333336</v>
      </c>
      <c r="P331" s="95">
        <f t="shared" si="50"/>
        <v>-15.75</v>
      </c>
      <c r="Q331" s="99">
        <f t="shared" si="51"/>
        <v>-0.24868421052631579</v>
      </c>
    </row>
    <row r="332" spans="2:18" x14ac:dyDescent="0.2">
      <c r="B332" t="s">
        <v>280</v>
      </c>
      <c r="C332">
        <v>49</v>
      </c>
      <c r="D332">
        <v>51</v>
      </c>
      <c r="E332">
        <v>45</v>
      </c>
      <c r="F332">
        <v>54</v>
      </c>
      <c r="G332">
        <v>56</v>
      </c>
      <c r="H332">
        <v>56</v>
      </c>
      <c r="I332">
        <v>53</v>
      </c>
      <c r="J332">
        <v>50</v>
      </c>
      <c r="K332">
        <v>47</v>
      </c>
      <c r="L332">
        <v>44</v>
      </c>
      <c r="M332">
        <v>44</v>
      </c>
      <c r="N332">
        <v>52</v>
      </c>
      <c r="O332" s="95">
        <f t="shared" si="49"/>
        <v>50.083333333333336</v>
      </c>
      <c r="P332" s="95">
        <f>SUM(O332-O331)</f>
        <v>2.5</v>
      </c>
      <c r="Q332" s="99">
        <f>SUM(P332/O331)</f>
        <v>5.2539404553415062E-2</v>
      </c>
    </row>
    <row r="333" spans="2:18" ht="12.75" customHeight="1" x14ac:dyDescent="0.2">
      <c r="B333" t="s">
        <v>323</v>
      </c>
      <c r="C333">
        <v>54</v>
      </c>
      <c r="D333">
        <v>54</v>
      </c>
      <c r="E333">
        <v>51</v>
      </c>
      <c r="F333">
        <v>57</v>
      </c>
      <c r="G333">
        <v>56</v>
      </c>
      <c r="H333">
        <v>64</v>
      </c>
      <c r="I333">
        <v>66</v>
      </c>
      <c r="J333">
        <v>65</v>
      </c>
      <c r="K333">
        <v>65</v>
      </c>
      <c r="L333">
        <v>65</v>
      </c>
      <c r="M333">
        <v>72</v>
      </c>
      <c r="N333">
        <v>63</v>
      </c>
      <c r="O333" s="95">
        <f t="shared" si="49"/>
        <v>61</v>
      </c>
      <c r="P333" s="95">
        <f t="shared" si="50"/>
        <v>10.916666666666664</v>
      </c>
      <c r="Q333" s="99">
        <f t="shared" si="51"/>
        <v>0.21797004991680527</v>
      </c>
    </row>
    <row r="334" spans="2:18" ht="12.75" customHeight="1" x14ac:dyDescent="0.2">
      <c r="B334" t="s">
        <v>348</v>
      </c>
      <c r="C334">
        <v>67</v>
      </c>
      <c r="D334">
        <v>65</v>
      </c>
      <c r="E334">
        <v>65</v>
      </c>
      <c r="F334">
        <v>61</v>
      </c>
      <c r="G334">
        <v>59</v>
      </c>
      <c r="H334">
        <v>58</v>
      </c>
      <c r="I334">
        <v>53</v>
      </c>
      <c r="J334">
        <v>56</v>
      </c>
      <c r="K334">
        <v>57</v>
      </c>
      <c r="L334">
        <v>57</v>
      </c>
      <c r="M334">
        <v>52</v>
      </c>
      <c r="N334">
        <v>58</v>
      </c>
      <c r="O334" s="95">
        <f t="shared" si="49"/>
        <v>59</v>
      </c>
      <c r="P334" s="95">
        <f t="shared" si="50"/>
        <v>-2</v>
      </c>
      <c r="Q334" s="99">
        <f t="shared" si="51"/>
        <v>-3.2786885245901641E-2</v>
      </c>
    </row>
    <row r="335" spans="2:18" x14ac:dyDescent="0.2">
      <c r="B335" t="s">
        <v>401</v>
      </c>
      <c r="C335">
        <v>55</v>
      </c>
      <c r="D335">
        <v>43</v>
      </c>
      <c r="E335">
        <v>45</v>
      </c>
      <c r="F335">
        <v>45</v>
      </c>
      <c r="G335">
        <v>40</v>
      </c>
      <c r="H335">
        <v>45</v>
      </c>
      <c r="I335">
        <v>45</v>
      </c>
      <c r="J335">
        <v>49</v>
      </c>
      <c r="K335">
        <v>53</v>
      </c>
      <c r="L335">
        <v>50</v>
      </c>
      <c r="M335">
        <v>51</v>
      </c>
      <c r="N335">
        <v>50</v>
      </c>
      <c r="O335" s="95">
        <f t="shared" si="49"/>
        <v>47.583333333333336</v>
      </c>
      <c r="P335" s="95">
        <f t="shared" si="50"/>
        <v>-11.416666666666664</v>
      </c>
      <c r="Q335" s="99">
        <f t="shared" si="51"/>
        <v>-0.19350282485875703</v>
      </c>
    </row>
    <row r="336" spans="2:18" x14ac:dyDescent="0.2">
      <c r="B336" t="s">
        <v>414</v>
      </c>
      <c r="C336">
        <v>49</v>
      </c>
      <c r="D336">
        <v>44</v>
      </c>
      <c r="E336">
        <v>44</v>
      </c>
      <c r="F336">
        <v>47</v>
      </c>
      <c r="G336">
        <v>43</v>
      </c>
      <c r="H336">
        <v>42</v>
      </c>
      <c r="I336">
        <v>44</v>
      </c>
      <c r="J336">
        <v>47</v>
      </c>
      <c r="K336">
        <v>38</v>
      </c>
      <c r="L336">
        <v>13</v>
      </c>
      <c r="M336">
        <v>13</v>
      </c>
      <c r="N336">
        <v>11</v>
      </c>
      <c r="O336" s="95">
        <f t="shared" si="49"/>
        <v>36.25</v>
      </c>
      <c r="P336" s="95">
        <f t="shared" ref="P336:P342" si="52">SUM(O336-O335)</f>
        <v>-11.333333333333336</v>
      </c>
      <c r="Q336" s="99">
        <f t="shared" si="51"/>
        <v>-0.23817863397548164</v>
      </c>
    </row>
    <row r="337" spans="1:17" x14ac:dyDescent="0.2">
      <c r="B337" t="s">
        <v>415</v>
      </c>
      <c r="C337">
        <v>11</v>
      </c>
      <c r="D337">
        <v>11</v>
      </c>
      <c r="E337">
        <v>10</v>
      </c>
      <c r="F337">
        <v>10</v>
      </c>
      <c r="G337">
        <v>11</v>
      </c>
      <c r="H337">
        <v>11</v>
      </c>
      <c r="I337">
        <v>10</v>
      </c>
      <c r="J337">
        <v>8</v>
      </c>
      <c r="K337">
        <v>8</v>
      </c>
      <c r="L337">
        <v>9</v>
      </c>
      <c r="M337">
        <v>58</v>
      </c>
      <c r="N337">
        <v>58</v>
      </c>
      <c r="O337" s="95">
        <f t="shared" si="49"/>
        <v>17.916666666666668</v>
      </c>
      <c r="P337" s="95">
        <f t="shared" si="52"/>
        <v>-18.333333333333332</v>
      </c>
      <c r="Q337" s="99">
        <f t="shared" si="51"/>
        <v>-0.50574712643678155</v>
      </c>
    </row>
    <row r="338" spans="1:17" x14ac:dyDescent="0.2">
      <c r="B338" t="s">
        <v>626</v>
      </c>
      <c r="C338">
        <v>60</v>
      </c>
      <c r="D338">
        <v>55</v>
      </c>
      <c r="E338">
        <v>57</v>
      </c>
      <c r="F338">
        <v>58</v>
      </c>
      <c r="G338">
        <v>55</v>
      </c>
      <c r="H338">
        <v>59</v>
      </c>
      <c r="I338">
        <v>64</v>
      </c>
      <c r="J338">
        <v>57</v>
      </c>
      <c r="K338">
        <v>57</v>
      </c>
      <c r="L338">
        <v>58</v>
      </c>
      <c r="M338">
        <v>61</v>
      </c>
      <c r="N338">
        <v>62</v>
      </c>
      <c r="O338" s="95">
        <f t="shared" si="49"/>
        <v>58.583333333333336</v>
      </c>
      <c r="P338" s="95">
        <f t="shared" si="52"/>
        <v>40.666666666666671</v>
      </c>
      <c r="Q338" s="99">
        <f t="shared" si="51"/>
        <v>2.2697674418604654</v>
      </c>
    </row>
    <row r="339" spans="1:17" x14ac:dyDescent="0.2">
      <c r="B339" t="s">
        <v>627</v>
      </c>
      <c r="C339">
        <v>56</v>
      </c>
      <c r="D339">
        <v>55</v>
      </c>
      <c r="E339">
        <v>57</v>
      </c>
      <c r="F339">
        <v>55</v>
      </c>
      <c r="G339">
        <v>55</v>
      </c>
      <c r="H339">
        <v>48</v>
      </c>
      <c r="I339">
        <v>60</v>
      </c>
      <c r="J339">
        <v>64</v>
      </c>
      <c r="K339">
        <v>68</v>
      </c>
      <c r="L339">
        <v>66</v>
      </c>
      <c r="M339">
        <v>54</v>
      </c>
      <c r="N339">
        <v>53</v>
      </c>
      <c r="O339" s="95">
        <f t="shared" si="49"/>
        <v>57.583333333333336</v>
      </c>
      <c r="P339" s="95">
        <f t="shared" si="52"/>
        <v>-1</v>
      </c>
      <c r="Q339" s="99">
        <f t="shared" si="51"/>
        <v>-1.7069701280227594E-2</v>
      </c>
    </row>
    <row r="340" spans="1:17" x14ac:dyDescent="0.2">
      <c r="B340" t="s">
        <v>674</v>
      </c>
      <c r="C340">
        <v>40</v>
      </c>
      <c r="D340">
        <v>35</v>
      </c>
      <c r="E340">
        <v>39</v>
      </c>
      <c r="F340">
        <v>47</v>
      </c>
      <c r="G340">
        <v>48</v>
      </c>
      <c r="H340">
        <v>26</v>
      </c>
      <c r="I340">
        <v>26</v>
      </c>
      <c r="J340">
        <v>24</v>
      </c>
      <c r="K340">
        <v>31</v>
      </c>
      <c r="L340">
        <v>32</v>
      </c>
      <c r="M340">
        <v>36</v>
      </c>
      <c r="N340">
        <v>41</v>
      </c>
      <c r="O340" s="95">
        <f t="shared" si="49"/>
        <v>35.416666666666664</v>
      </c>
      <c r="P340" s="95">
        <f t="shared" si="52"/>
        <v>-22.166666666666671</v>
      </c>
      <c r="Q340" s="99">
        <f t="shared" si="51"/>
        <v>-0.38494934876989878</v>
      </c>
    </row>
    <row r="341" spans="1:17" x14ac:dyDescent="0.2">
      <c r="B341" s="477" t="s">
        <v>692</v>
      </c>
      <c r="C341">
        <v>38</v>
      </c>
      <c r="D341">
        <v>37</v>
      </c>
      <c r="E341">
        <v>38</v>
      </c>
      <c r="F341">
        <v>38</v>
      </c>
      <c r="G341">
        <v>42</v>
      </c>
      <c r="H341">
        <v>43</v>
      </c>
      <c r="I341">
        <v>45</v>
      </c>
      <c r="J341">
        <v>43</v>
      </c>
      <c r="K341">
        <v>39</v>
      </c>
      <c r="L341">
        <v>40</v>
      </c>
      <c r="M341">
        <v>42</v>
      </c>
      <c r="N341">
        <v>42</v>
      </c>
      <c r="O341" s="95">
        <f t="shared" si="49"/>
        <v>40.583333333333336</v>
      </c>
      <c r="P341" s="95">
        <f t="shared" si="52"/>
        <v>5.1666666666666714</v>
      </c>
      <c r="Q341" s="99">
        <f t="shared" si="51"/>
        <v>0.1458823529411766</v>
      </c>
    </row>
    <row r="342" spans="1:17" x14ac:dyDescent="0.2">
      <c r="B342" s="477" t="s">
        <v>700</v>
      </c>
      <c r="C342">
        <v>36</v>
      </c>
      <c r="D342">
        <v>35</v>
      </c>
      <c r="E342">
        <v>33</v>
      </c>
      <c r="F342">
        <v>33</v>
      </c>
      <c r="G342">
        <v>34</v>
      </c>
      <c r="H342">
        <v>34</v>
      </c>
      <c r="I342">
        <v>27</v>
      </c>
      <c r="J342">
        <v>23</v>
      </c>
      <c r="K342">
        <v>35</v>
      </c>
      <c r="L342">
        <v>33</v>
      </c>
      <c r="M342">
        <v>34</v>
      </c>
      <c r="N342">
        <v>35</v>
      </c>
      <c r="O342" s="95">
        <f t="shared" si="49"/>
        <v>32.666666666666664</v>
      </c>
      <c r="P342" s="95">
        <f t="shared" si="52"/>
        <v>-7.9166666666666714</v>
      </c>
      <c r="Q342" s="99">
        <f t="shared" si="51"/>
        <v>-0.19507186858316233</v>
      </c>
    </row>
    <row r="343" spans="1:17" x14ac:dyDescent="0.2">
      <c r="B343" s="477" t="s">
        <v>737</v>
      </c>
      <c r="C343">
        <v>35</v>
      </c>
      <c r="D343">
        <v>39</v>
      </c>
      <c r="E343">
        <v>36</v>
      </c>
      <c r="F343">
        <v>37</v>
      </c>
      <c r="G343">
        <v>36</v>
      </c>
      <c r="H343">
        <v>34</v>
      </c>
      <c r="I343">
        <v>35</v>
      </c>
      <c r="J343">
        <v>36</v>
      </c>
      <c r="K343">
        <v>33</v>
      </c>
      <c r="L343">
        <v>32</v>
      </c>
      <c r="M343">
        <v>35</v>
      </c>
      <c r="N343">
        <v>35</v>
      </c>
      <c r="O343" s="95">
        <f t="shared" si="49"/>
        <v>35.25</v>
      </c>
      <c r="P343" s="95">
        <f>SUM(O343-O342)</f>
        <v>2.5833333333333357</v>
      </c>
      <c r="Q343" s="99">
        <f>SUM(P343/O342)</f>
        <v>7.9081632653061298E-2</v>
      </c>
    </row>
    <row r="344" spans="1:17" x14ac:dyDescent="0.2">
      <c r="B344" s="477" t="s">
        <v>792</v>
      </c>
      <c r="C344">
        <v>39</v>
      </c>
      <c r="D344">
        <v>39</v>
      </c>
      <c r="E344">
        <v>39</v>
      </c>
      <c r="F344">
        <v>37</v>
      </c>
      <c r="G344">
        <v>37</v>
      </c>
      <c r="H344">
        <v>35</v>
      </c>
      <c r="I344">
        <v>36</v>
      </c>
      <c r="J344">
        <v>34</v>
      </c>
      <c r="K344">
        <v>33</v>
      </c>
      <c r="L344">
        <v>35</v>
      </c>
      <c r="M344">
        <v>39</v>
      </c>
      <c r="N344">
        <v>39</v>
      </c>
      <c r="O344" s="95">
        <f t="shared" si="49"/>
        <v>36.833333333333336</v>
      </c>
      <c r="P344" s="95">
        <f>SUM(O344-O343)</f>
        <v>1.5833333333333357</v>
      </c>
      <c r="Q344" s="99">
        <f>SUM(P344/O343)</f>
        <v>4.4917257683215195E-2</v>
      </c>
    </row>
    <row r="345" spans="1:17" x14ac:dyDescent="0.2">
      <c r="B345" s="477" t="s">
        <v>959</v>
      </c>
      <c r="C345">
        <v>37</v>
      </c>
      <c r="D345">
        <v>39</v>
      </c>
      <c r="E345">
        <v>40</v>
      </c>
      <c r="F345">
        <v>40</v>
      </c>
      <c r="G345">
        <v>40</v>
      </c>
      <c r="H345">
        <v>40</v>
      </c>
      <c r="I345">
        <v>39</v>
      </c>
      <c r="J345">
        <v>37</v>
      </c>
      <c r="K345">
        <v>31</v>
      </c>
      <c r="L345">
        <v>30</v>
      </c>
      <c r="M345">
        <v>31</v>
      </c>
      <c r="N345">
        <v>30</v>
      </c>
      <c r="O345" s="95">
        <f t="shared" si="49"/>
        <v>36.166666666666664</v>
      </c>
      <c r="P345" s="95">
        <f>SUM(O345-O344)</f>
        <v>-0.6666666666666714</v>
      </c>
      <c r="Q345" s="99">
        <f>SUM(P345/O344)</f>
        <v>-1.8099547511312344E-2</v>
      </c>
    </row>
    <row r="346" spans="1:17" x14ac:dyDescent="0.2">
      <c r="A346" s="381"/>
      <c r="B346" s="381"/>
      <c r="C346" s="381"/>
      <c r="D346" s="381"/>
      <c r="E346" s="381"/>
      <c r="F346" s="381"/>
      <c r="G346" s="381"/>
      <c r="H346" s="381"/>
      <c r="I346" s="381"/>
      <c r="J346" s="381"/>
      <c r="K346" s="381"/>
      <c r="L346" s="381"/>
      <c r="M346" s="381"/>
      <c r="N346" s="381"/>
      <c r="O346" s="381"/>
      <c r="P346" s="381"/>
      <c r="Q346" s="381"/>
    </row>
    <row r="347" spans="1:17" x14ac:dyDescent="0.2">
      <c r="A347" s="428" t="s">
        <v>337</v>
      </c>
      <c r="B347" s="100" t="s">
        <v>304</v>
      </c>
      <c r="C347" s="100" t="s">
        <v>305</v>
      </c>
      <c r="D347" s="100" t="s">
        <v>306</v>
      </c>
      <c r="E347" s="100" t="s">
        <v>307</v>
      </c>
      <c r="F347" s="100" t="s">
        <v>308</v>
      </c>
      <c r="G347" s="100" t="s">
        <v>309</v>
      </c>
      <c r="H347" s="100" t="s">
        <v>310</v>
      </c>
      <c r="I347" s="100" t="s">
        <v>311</v>
      </c>
      <c r="J347" s="100" t="s">
        <v>312</v>
      </c>
      <c r="K347" s="100" t="s">
        <v>313</v>
      </c>
      <c r="L347" s="100" t="s">
        <v>314</v>
      </c>
      <c r="M347" s="100" t="s">
        <v>315</v>
      </c>
      <c r="N347" s="100" t="s">
        <v>316</v>
      </c>
    </row>
    <row r="348" spans="1:17" x14ac:dyDescent="0.2">
      <c r="B348" t="s">
        <v>261</v>
      </c>
      <c r="H348">
        <v>120</v>
      </c>
      <c r="I348">
        <v>96</v>
      </c>
      <c r="J348">
        <v>123</v>
      </c>
      <c r="K348">
        <v>105</v>
      </c>
      <c r="L348">
        <v>122</v>
      </c>
      <c r="M348">
        <v>118</v>
      </c>
      <c r="N348">
        <v>118</v>
      </c>
      <c r="O348" s="95">
        <f>SUM(C348:N348)/7</f>
        <v>114.57142857142857</v>
      </c>
      <c r="P348" s="95"/>
      <c r="Q348" s="99"/>
    </row>
    <row r="349" spans="1:17" x14ac:dyDescent="0.2">
      <c r="B349" t="s">
        <v>280</v>
      </c>
      <c r="C349">
        <v>108</v>
      </c>
      <c r="D349">
        <v>110</v>
      </c>
      <c r="E349">
        <v>105</v>
      </c>
      <c r="F349">
        <v>102</v>
      </c>
      <c r="G349">
        <v>121</v>
      </c>
      <c r="H349">
        <v>133</v>
      </c>
      <c r="I349">
        <v>137</v>
      </c>
      <c r="J349">
        <v>129</v>
      </c>
      <c r="K349">
        <v>137</v>
      </c>
      <c r="L349">
        <v>140</v>
      </c>
      <c r="M349">
        <v>134</v>
      </c>
      <c r="N349">
        <v>128</v>
      </c>
      <c r="O349" s="95">
        <f t="shared" ref="O349:O362" si="53">SUM(C349:N349)/12</f>
        <v>123.66666666666667</v>
      </c>
      <c r="P349" s="95">
        <f t="shared" ref="P349:P354" si="54">SUM(O349-O348)</f>
        <v>9.095238095238102</v>
      </c>
      <c r="Q349" s="99">
        <f t="shared" ref="Q349:Q361" si="55">SUM(P349/O348)</f>
        <v>7.9384871155444778E-2</v>
      </c>
    </row>
    <row r="350" spans="1:17" x14ac:dyDescent="0.2">
      <c r="B350" t="s">
        <v>323</v>
      </c>
      <c r="C350">
        <v>109</v>
      </c>
      <c r="D350">
        <v>111</v>
      </c>
      <c r="E350">
        <v>117</v>
      </c>
      <c r="F350">
        <v>117</v>
      </c>
      <c r="G350">
        <v>122</v>
      </c>
      <c r="H350">
        <v>122</v>
      </c>
      <c r="I350">
        <v>140</v>
      </c>
      <c r="J350">
        <v>138</v>
      </c>
      <c r="K350">
        <v>138</v>
      </c>
      <c r="L350">
        <v>107</v>
      </c>
      <c r="M350">
        <v>109</v>
      </c>
      <c r="N350">
        <v>128</v>
      </c>
      <c r="O350" s="95">
        <f t="shared" si="53"/>
        <v>121.5</v>
      </c>
      <c r="P350" s="95">
        <f t="shared" si="54"/>
        <v>-2.1666666666666714</v>
      </c>
      <c r="Q350" s="99">
        <f t="shared" si="55"/>
        <v>-1.7520215633423219E-2</v>
      </c>
    </row>
    <row r="351" spans="1:17" x14ac:dyDescent="0.2">
      <c r="B351" t="s">
        <v>348</v>
      </c>
      <c r="C351">
        <v>109</v>
      </c>
      <c r="D351">
        <v>116</v>
      </c>
      <c r="E351">
        <v>125</v>
      </c>
      <c r="F351">
        <v>113</v>
      </c>
      <c r="G351">
        <v>99</v>
      </c>
      <c r="H351">
        <v>98</v>
      </c>
      <c r="I351">
        <v>107</v>
      </c>
      <c r="J351">
        <v>113</v>
      </c>
      <c r="K351">
        <v>118</v>
      </c>
      <c r="L351">
        <v>105</v>
      </c>
      <c r="M351">
        <v>107</v>
      </c>
      <c r="N351">
        <v>110</v>
      </c>
      <c r="O351" s="95">
        <f t="shared" si="53"/>
        <v>110</v>
      </c>
      <c r="P351" s="95">
        <f t="shared" si="54"/>
        <v>-11.5</v>
      </c>
      <c r="Q351" s="99">
        <f t="shared" si="55"/>
        <v>-9.4650205761316872E-2</v>
      </c>
    </row>
    <row r="352" spans="1:17" x14ac:dyDescent="0.2">
      <c r="B352" t="s">
        <v>401</v>
      </c>
      <c r="C352">
        <v>111</v>
      </c>
      <c r="D352">
        <v>102</v>
      </c>
      <c r="E352">
        <v>122</v>
      </c>
      <c r="F352">
        <v>144</v>
      </c>
      <c r="G352">
        <v>154</v>
      </c>
      <c r="H352">
        <v>164</v>
      </c>
      <c r="I352">
        <v>164</v>
      </c>
      <c r="J352">
        <v>169</v>
      </c>
      <c r="K352">
        <v>164</v>
      </c>
      <c r="L352">
        <v>165</v>
      </c>
      <c r="M352">
        <v>161</v>
      </c>
      <c r="N352">
        <v>142</v>
      </c>
      <c r="O352" s="95">
        <f t="shared" si="53"/>
        <v>146.83333333333334</v>
      </c>
      <c r="P352" s="95">
        <f t="shared" si="54"/>
        <v>36.833333333333343</v>
      </c>
      <c r="Q352" s="99">
        <f t="shared" si="55"/>
        <v>0.33484848484848495</v>
      </c>
    </row>
    <row r="353" spans="1:18" x14ac:dyDescent="0.2">
      <c r="B353" t="s">
        <v>414</v>
      </c>
      <c r="C353">
        <v>158</v>
      </c>
      <c r="D353">
        <v>164</v>
      </c>
      <c r="E353">
        <v>169</v>
      </c>
      <c r="F353">
        <v>191</v>
      </c>
      <c r="G353">
        <v>185</v>
      </c>
      <c r="H353">
        <v>192</v>
      </c>
      <c r="I353">
        <v>181</v>
      </c>
      <c r="J353">
        <v>162</v>
      </c>
      <c r="K353">
        <v>140</v>
      </c>
      <c r="L353">
        <v>146</v>
      </c>
      <c r="M353">
        <v>154</v>
      </c>
      <c r="N353">
        <v>150</v>
      </c>
      <c r="O353" s="95">
        <f t="shared" si="53"/>
        <v>166</v>
      </c>
      <c r="P353" s="95">
        <f t="shared" si="54"/>
        <v>19.166666666666657</v>
      </c>
      <c r="Q353" s="99">
        <f t="shared" si="55"/>
        <v>0.13053348467650391</v>
      </c>
    </row>
    <row r="354" spans="1:18" x14ac:dyDescent="0.2">
      <c r="B354" t="s">
        <v>415</v>
      </c>
      <c r="C354">
        <v>135</v>
      </c>
      <c r="D354">
        <v>124</v>
      </c>
      <c r="E354">
        <v>138</v>
      </c>
      <c r="F354">
        <v>129</v>
      </c>
      <c r="G354">
        <v>115</v>
      </c>
      <c r="H354">
        <v>99</v>
      </c>
      <c r="I354">
        <v>91</v>
      </c>
      <c r="J354">
        <v>84</v>
      </c>
      <c r="K354">
        <v>90</v>
      </c>
      <c r="L354">
        <v>104</v>
      </c>
      <c r="M354">
        <v>95</v>
      </c>
      <c r="N354">
        <v>97</v>
      </c>
      <c r="O354" s="95">
        <f t="shared" si="53"/>
        <v>108.41666666666667</v>
      </c>
      <c r="P354" s="95">
        <f t="shared" si="54"/>
        <v>-57.583333333333329</v>
      </c>
      <c r="Q354" s="99">
        <f t="shared" si="55"/>
        <v>-0.3468875502008032</v>
      </c>
    </row>
    <row r="355" spans="1:18" x14ac:dyDescent="0.2">
      <c r="B355" t="s">
        <v>626</v>
      </c>
      <c r="C355">
        <v>101</v>
      </c>
      <c r="D355">
        <v>104</v>
      </c>
      <c r="E355">
        <v>121</v>
      </c>
      <c r="F355">
        <v>124</v>
      </c>
      <c r="G355">
        <v>126</v>
      </c>
      <c r="H355">
        <v>125</v>
      </c>
      <c r="I355">
        <v>129</v>
      </c>
      <c r="J355">
        <v>116</v>
      </c>
      <c r="K355">
        <v>116</v>
      </c>
      <c r="L355">
        <v>113</v>
      </c>
      <c r="M355">
        <v>120</v>
      </c>
      <c r="N355">
        <v>112</v>
      </c>
      <c r="O355" s="95">
        <f t="shared" si="53"/>
        <v>117.25</v>
      </c>
      <c r="P355" s="95">
        <f t="shared" ref="P355:P362" si="56">SUM(O355-O354)</f>
        <v>8.8333333333333286</v>
      </c>
      <c r="Q355" s="99">
        <f t="shared" si="55"/>
        <v>8.1475787855495724E-2</v>
      </c>
    </row>
    <row r="356" spans="1:18" x14ac:dyDescent="0.2">
      <c r="B356" t="s">
        <v>627</v>
      </c>
      <c r="C356">
        <v>96</v>
      </c>
      <c r="D356">
        <v>101</v>
      </c>
      <c r="E356">
        <v>93</v>
      </c>
      <c r="F356">
        <v>97</v>
      </c>
      <c r="G356">
        <v>95</v>
      </c>
      <c r="H356">
        <v>82</v>
      </c>
      <c r="I356">
        <v>91</v>
      </c>
      <c r="J356">
        <v>103</v>
      </c>
      <c r="K356">
        <v>101</v>
      </c>
      <c r="L356">
        <v>93</v>
      </c>
      <c r="M356">
        <v>114</v>
      </c>
      <c r="N356">
        <v>104</v>
      </c>
      <c r="O356" s="95">
        <f t="shared" si="53"/>
        <v>97.5</v>
      </c>
      <c r="P356" s="95">
        <f t="shared" si="56"/>
        <v>-19.75</v>
      </c>
      <c r="Q356" s="99">
        <f t="shared" si="55"/>
        <v>-0.16844349680170576</v>
      </c>
    </row>
    <row r="357" spans="1:18" x14ac:dyDescent="0.2">
      <c r="B357" t="s">
        <v>674</v>
      </c>
      <c r="C357">
        <v>93</v>
      </c>
      <c r="D357">
        <v>94</v>
      </c>
      <c r="E357">
        <v>99</v>
      </c>
      <c r="F357">
        <v>104</v>
      </c>
      <c r="G357">
        <v>96</v>
      </c>
      <c r="H357">
        <v>103</v>
      </c>
      <c r="I357">
        <v>102</v>
      </c>
      <c r="J357">
        <v>107</v>
      </c>
      <c r="K357">
        <v>116</v>
      </c>
      <c r="L357">
        <v>111</v>
      </c>
      <c r="M357">
        <v>117</v>
      </c>
      <c r="N357">
        <v>113</v>
      </c>
      <c r="O357" s="95">
        <f t="shared" si="53"/>
        <v>104.58333333333333</v>
      </c>
      <c r="P357" s="95">
        <f t="shared" si="56"/>
        <v>7.0833333333333286</v>
      </c>
      <c r="Q357" s="99">
        <f t="shared" si="55"/>
        <v>7.26495726495726E-2</v>
      </c>
    </row>
    <row r="358" spans="1:18" x14ac:dyDescent="0.2">
      <c r="B358" s="477" t="s">
        <v>692</v>
      </c>
      <c r="C358">
        <v>111</v>
      </c>
      <c r="D358">
        <v>104</v>
      </c>
      <c r="E358">
        <v>104</v>
      </c>
      <c r="F358">
        <v>100</v>
      </c>
      <c r="G358">
        <v>107</v>
      </c>
      <c r="H358">
        <v>119</v>
      </c>
      <c r="I358">
        <v>120</v>
      </c>
      <c r="J358">
        <v>111</v>
      </c>
      <c r="K358">
        <v>101</v>
      </c>
      <c r="L358">
        <v>92</v>
      </c>
      <c r="M358">
        <v>89</v>
      </c>
      <c r="N358">
        <v>78</v>
      </c>
      <c r="O358" s="95">
        <f t="shared" si="53"/>
        <v>103</v>
      </c>
      <c r="P358" s="95">
        <f t="shared" si="56"/>
        <v>-1.5833333333333286</v>
      </c>
      <c r="Q358" s="99">
        <f t="shared" si="55"/>
        <v>-1.5139442231075653E-2</v>
      </c>
    </row>
    <row r="359" spans="1:18" x14ac:dyDescent="0.2">
      <c r="B359" s="477" t="s">
        <v>700</v>
      </c>
      <c r="C359">
        <v>83</v>
      </c>
      <c r="D359">
        <v>77</v>
      </c>
      <c r="E359">
        <v>76</v>
      </c>
      <c r="F359">
        <v>79</v>
      </c>
      <c r="G359">
        <v>82</v>
      </c>
      <c r="H359">
        <v>79</v>
      </c>
      <c r="I359">
        <v>81</v>
      </c>
      <c r="J359">
        <v>61</v>
      </c>
      <c r="K359">
        <v>62</v>
      </c>
      <c r="L359">
        <v>58</v>
      </c>
      <c r="M359">
        <v>56</v>
      </c>
      <c r="N359">
        <v>62</v>
      </c>
      <c r="O359" s="95">
        <f t="shared" si="53"/>
        <v>71.333333333333329</v>
      </c>
      <c r="P359" s="95">
        <f t="shared" si="56"/>
        <v>-31.666666666666671</v>
      </c>
      <c r="Q359" s="99">
        <f t="shared" si="55"/>
        <v>-0.30744336569579295</v>
      </c>
    </row>
    <row r="360" spans="1:18" x14ac:dyDescent="0.2">
      <c r="B360" s="477" t="s">
        <v>737</v>
      </c>
      <c r="C360">
        <v>67</v>
      </c>
      <c r="D360">
        <v>68</v>
      </c>
      <c r="E360">
        <v>65</v>
      </c>
      <c r="F360">
        <v>60</v>
      </c>
      <c r="G360">
        <v>51</v>
      </c>
      <c r="H360">
        <v>52</v>
      </c>
      <c r="I360">
        <v>49</v>
      </c>
      <c r="J360">
        <v>56</v>
      </c>
      <c r="K360">
        <v>62</v>
      </c>
      <c r="L360">
        <v>67</v>
      </c>
      <c r="M360">
        <v>74</v>
      </c>
      <c r="N360">
        <v>71</v>
      </c>
      <c r="O360" s="95">
        <f t="shared" si="53"/>
        <v>61.833333333333336</v>
      </c>
      <c r="P360" s="95">
        <f t="shared" si="56"/>
        <v>-9.4999999999999929</v>
      </c>
      <c r="Q360" s="99">
        <f t="shared" si="55"/>
        <v>-0.13317757009345785</v>
      </c>
    </row>
    <row r="361" spans="1:18" x14ac:dyDescent="0.2">
      <c r="B361" s="477" t="s">
        <v>792</v>
      </c>
      <c r="C361">
        <v>69</v>
      </c>
      <c r="D361">
        <v>68</v>
      </c>
      <c r="E361">
        <v>63</v>
      </c>
      <c r="F361">
        <v>60</v>
      </c>
      <c r="G361">
        <v>62</v>
      </c>
      <c r="H361">
        <v>58</v>
      </c>
      <c r="I361">
        <v>54</v>
      </c>
      <c r="J361">
        <v>56</v>
      </c>
      <c r="K361">
        <v>55</v>
      </c>
      <c r="L361">
        <v>59</v>
      </c>
      <c r="M361">
        <v>58</v>
      </c>
      <c r="N361">
        <v>63</v>
      </c>
      <c r="O361" s="95">
        <f t="shared" si="53"/>
        <v>60.416666666666664</v>
      </c>
      <c r="P361" s="95">
        <f t="shared" si="56"/>
        <v>-1.4166666666666714</v>
      </c>
      <c r="Q361" s="99">
        <f t="shared" si="55"/>
        <v>-2.2911051212938082E-2</v>
      </c>
    </row>
    <row r="362" spans="1:18" x14ac:dyDescent="0.2">
      <c r="B362" s="477" t="s">
        <v>959</v>
      </c>
      <c r="C362">
        <v>64</v>
      </c>
      <c r="D362">
        <v>69</v>
      </c>
      <c r="E362">
        <v>68</v>
      </c>
      <c r="F362">
        <v>65</v>
      </c>
      <c r="G362">
        <v>63</v>
      </c>
      <c r="H362">
        <v>64</v>
      </c>
      <c r="I362">
        <v>55</v>
      </c>
      <c r="J362">
        <v>53</v>
      </c>
      <c r="K362">
        <v>54</v>
      </c>
      <c r="L362">
        <v>52</v>
      </c>
      <c r="M362">
        <v>59</v>
      </c>
      <c r="N362">
        <v>59</v>
      </c>
      <c r="O362" s="95">
        <f t="shared" si="53"/>
        <v>60.416666666666664</v>
      </c>
      <c r="P362" s="95">
        <f t="shared" si="56"/>
        <v>0</v>
      </c>
      <c r="Q362" s="99">
        <f>SUM(P362/O361)</f>
        <v>0</v>
      </c>
    </row>
    <row r="363" spans="1:18" x14ac:dyDescent="0.2">
      <c r="A363" s="381"/>
      <c r="B363" s="381"/>
      <c r="C363" s="381"/>
      <c r="D363" s="381"/>
      <c r="E363" s="381"/>
      <c r="F363" s="381"/>
      <c r="G363" s="381"/>
      <c r="H363" s="381"/>
      <c r="I363" s="381"/>
      <c r="J363" s="381"/>
      <c r="K363" s="381"/>
      <c r="L363" s="381"/>
      <c r="M363" s="381"/>
      <c r="N363" s="381"/>
      <c r="O363" s="381"/>
      <c r="P363" s="381"/>
      <c r="Q363" s="381"/>
      <c r="R363" s="381"/>
    </row>
    <row r="364" spans="1:18" ht="51" x14ac:dyDescent="0.2">
      <c r="A364" s="922" t="s">
        <v>338</v>
      </c>
      <c r="B364" s="923" t="s">
        <v>304</v>
      </c>
      <c r="C364" s="924" t="s">
        <v>305</v>
      </c>
      <c r="D364" s="924" t="s">
        <v>306</v>
      </c>
      <c r="E364" s="924" t="s">
        <v>307</v>
      </c>
      <c r="F364" s="924" t="s">
        <v>308</v>
      </c>
      <c r="G364" s="924" t="s">
        <v>309</v>
      </c>
      <c r="H364" s="924" t="s">
        <v>310</v>
      </c>
      <c r="I364" s="924" t="s">
        <v>311</v>
      </c>
      <c r="J364" s="924" t="s">
        <v>312</v>
      </c>
      <c r="K364" s="924" t="s">
        <v>313</v>
      </c>
      <c r="L364" s="924" t="s">
        <v>314</v>
      </c>
      <c r="M364" s="924" t="s">
        <v>315</v>
      </c>
      <c r="N364" s="924" t="s">
        <v>316</v>
      </c>
      <c r="O364" s="931" t="s">
        <v>317</v>
      </c>
      <c r="P364" s="925" t="s">
        <v>318</v>
      </c>
      <c r="Q364" s="925" t="s">
        <v>319</v>
      </c>
      <c r="R364" s="925" t="s">
        <v>960</v>
      </c>
    </row>
    <row r="365" spans="1:18" x14ac:dyDescent="0.2">
      <c r="A365" s="926" t="s">
        <v>961</v>
      </c>
      <c r="B365" s="927" t="s">
        <v>320</v>
      </c>
      <c r="C365" s="927">
        <f t="shared" ref="C365:N377" si="57">SUM(C3,C29,C56,C82,C109,C135,C162,C188,C215,C241,C268,C294,C321)</f>
        <v>4476</v>
      </c>
      <c r="D365" s="927">
        <f t="shared" si="57"/>
        <v>4483</v>
      </c>
      <c r="E365" s="927">
        <f t="shared" si="57"/>
        <v>4465</v>
      </c>
      <c r="F365" s="927">
        <f t="shared" si="57"/>
        <v>4430</v>
      </c>
      <c r="G365" s="927">
        <f t="shared" si="57"/>
        <v>4464</v>
      </c>
      <c r="H365" s="927">
        <f t="shared" si="57"/>
        <v>4489</v>
      </c>
      <c r="I365" s="927">
        <f t="shared" si="57"/>
        <v>4483</v>
      </c>
      <c r="J365" s="927">
        <f t="shared" si="57"/>
        <v>4518</v>
      </c>
      <c r="K365" s="927">
        <f t="shared" si="57"/>
        <v>4524</v>
      </c>
      <c r="L365" s="927">
        <f t="shared" si="57"/>
        <v>4527</v>
      </c>
      <c r="M365" s="927">
        <f t="shared" si="57"/>
        <v>4496</v>
      </c>
      <c r="N365" s="927">
        <f t="shared" si="57"/>
        <v>4561</v>
      </c>
      <c r="O365" s="927">
        <f t="shared" ref="O365:O373" si="58">SUM(C365:N365)/12</f>
        <v>4493</v>
      </c>
      <c r="P365" s="927"/>
      <c r="Q365" s="927"/>
      <c r="R365" s="927"/>
    </row>
    <row r="366" spans="1:18" x14ac:dyDescent="0.2">
      <c r="A366" s="927"/>
      <c r="B366" s="927" t="s">
        <v>321</v>
      </c>
      <c r="C366" s="927">
        <f t="shared" si="57"/>
        <v>4520</v>
      </c>
      <c r="D366" s="927">
        <f t="shared" si="57"/>
        <v>4564</v>
      </c>
      <c r="E366" s="927">
        <f t="shared" si="57"/>
        <v>4554</v>
      </c>
      <c r="F366" s="927">
        <f t="shared" si="57"/>
        <v>4570</v>
      </c>
      <c r="G366" s="927">
        <f t="shared" si="57"/>
        <v>4539</v>
      </c>
      <c r="H366" s="927">
        <f t="shared" si="57"/>
        <v>4559</v>
      </c>
      <c r="I366" s="927">
        <f t="shared" si="57"/>
        <v>4522</v>
      </c>
      <c r="J366" s="927">
        <f t="shared" si="57"/>
        <v>4548</v>
      </c>
      <c r="K366" s="927">
        <f t="shared" si="57"/>
        <v>4510</v>
      </c>
      <c r="L366" s="927">
        <f t="shared" si="57"/>
        <v>4548</v>
      </c>
      <c r="M366" s="927">
        <f t="shared" si="57"/>
        <v>4537</v>
      </c>
      <c r="N366" s="927">
        <f t="shared" si="57"/>
        <v>4525</v>
      </c>
      <c r="O366" s="928">
        <f t="shared" si="58"/>
        <v>4541.333333333333</v>
      </c>
      <c r="P366" s="928">
        <f t="shared" ref="P366:P372" si="59">SUM(O366-N365)</f>
        <v>-19.66666666666697</v>
      </c>
      <c r="Q366" s="929">
        <f t="shared" ref="Q366:Q374" si="60">SUM(P366/O365)</f>
        <v>-4.3771793159730621E-3</v>
      </c>
      <c r="R366" s="927"/>
    </row>
    <row r="367" spans="1:18" x14ac:dyDescent="0.2">
      <c r="A367" s="927"/>
      <c r="B367" s="927" t="s">
        <v>322</v>
      </c>
      <c r="C367" s="927">
        <f t="shared" si="57"/>
        <v>4558</v>
      </c>
      <c r="D367" s="927">
        <f t="shared" si="57"/>
        <v>4615</v>
      </c>
      <c r="E367" s="927">
        <f t="shared" si="57"/>
        <v>4607</v>
      </c>
      <c r="F367" s="927">
        <f t="shared" si="57"/>
        <v>4575</v>
      </c>
      <c r="G367" s="927">
        <f t="shared" si="57"/>
        <v>4575</v>
      </c>
      <c r="H367" s="927">
        <f t="shared" si="57"/>
        <v>4624</v>
      </c>
      <c r="I367" s="927">
        <f t="shared" si="57"/>
        <v>4604</v>
      </c>
      <c r="J367" s="927">
        <f t="shared" si="57"/>
        <v>4666</v>
      </c>
      <c r="K367" s="927">
        <f t="shared" si="57"/>
        <v>4736</v>
      </c>
      <c r="L367" s="927">
        <f t="shared" si="57"/>
        <v>4774</v>
      </c>
      <c r="M367" s="927">
        <f t="shared" si="57"/>
        <v>4832</v>
      </c>
      <c r="N367" s="927">
        <f t="shared" si="57"/>
        <v>4872</v>
      </c>
      <c r="O367" s="928">
        <f t="shared" si="58"/>
        <v>4669.833333333333</v>
      </c>
      <c r="P367" s="928">
        <f t="shared" si="59"/>
        <v>144.83333333333303</v>
      </c>
      <c r="Q367" s="929">
        <f t="shared" si="60"/>
        <v>3.1892248972401581E-2</v>
      </c>
      <c r="R367" s="929">
        <f>SUM(Q366:Q367)</f>
        <v>2.7515069656428519E-2</v>
      </c>
    </row>
    <row r="368" spans="1:18" x14ac:dyDescent="0.2">
      <c r="A368" s="927"/>
      <c r="B368" s="927" t="s">
        <v>226</v>
      </c>
      <c r="C368" s="927">
        <f t="shared" si="57"/>
        <v>4823</v>
      </c>
      <c r="D368" s="927">
        <f t="shared" si="57"/>
        <v>4949</v>
      </c>
      <c r="E368" s="927">
        <f t="shared" si="57"/>
        <v>4738</v>
      </c>
      <c r="F368" s="927">
        <f t="shared" si="57"/>
        <v>4753</v>
      </c>
      <c r="G368" s="927">
        <f t="shared" si="57"/>
        <v>4796</v>
      </c>
      <c r="H368" s="927">
        <f t="shared" si="57"/>
        <v>4795</v>
      </c>
      <c r="I368" s="927">
        <f t="shared" si="57"/>
        <v>4787</v>
      </c>
      <c r="J368" s="927">
        <f t="shared" si="57"/>
        <v>4789</v>
      </c>
      <c r="K368" s="927">
        <f t="shared" si="57"/>
        <v>4682</v>
      </c>
      <c r="L368" s="927">
        <f t="shared" si="57"/>
        <v>4694</v>
      </c>
      <c r="M368" s="927">
        <f t="shared" si="57"/>
        <v>4685</v>
      </c>
      <c r="N368" s="927">
        <f t="shared" si="57"/>
        <v>4723</v>
      </c>
      <c r="O368" s="928">
        <f t="shared" si="58"/>
        <v>4767.833333333333</v>
      </c>
      <c r="P368" s="928">
        <f t="shared" si="59"/>
        <v>-104.16666666666697</v>
      </c>
      <c r="Q368" s="929">
        <f t="shared" si="60"/>
        <v>-2.2306292158892245E-2</v>
      </c>
      <c r="R368" s="929">
        <f>SUM(Q366:Q368)</f>
        <v>5.2087774975362738E-3</v>
      </c>
    </row>
    <row r="369" spans="1:19" x14ac:dyDescent="0.2">
      <c r="A369" s="927"/>
      <c r="B369" s="927" t="s">
        <v>225</v>
      </c>
      <c r="C369" s="927">
        <f t="shared" si="57"/>
        <v>4934</v>
      </c>
      <c r="D369" s="927">
        <f t="shared" si="57"/>
        <v>4681</v>
      </c>
      <c r="E369" s="927">
        <f t="shared" si="57"/>
        <v>4701</v>
      </c>
      <c r="F369" s="927">
        <f t="shared" si="57"/>
        <v>4713</v>
      </c>
      <c r="G369" s="927">
        <f t="shared" si="57"/>
        <v>4644</v>
      </c>
      <c r="H369" s="927">
        <f t="shared" si="57"/>
        <v>4760</v>
      </c>
      <c r="I369" s="927">
        <f t="shared" si="57"/>
        <v>4760</v>
      </c>
      <c r="J369" s="927">
        <f t="shared" si="57"/>
        <v>4753</v>
      </c>
      <c r="K369" s="927">
        <f t="shared" si="57"/>
        <v>4744</v>
      </c>
      <c r="L369" s="927">
        <f t="shared" si="57"/>
        <v>4764</v>
      </c>
      <c r="M369" s="927">
        <f t="shared" si="57"/>
        <v>4810</v>
      </c>
      <c r="N369" s="927">
        <f t="shared" si="57"/>
        <v>4804</v>
      </c>
      <c r="O369" s="928">
        <f t="shared" si="58"/>
        <v>4755.666666666667</v>
      </c>
      <c r="P369" s="928">
        <f t="shared" si="59"/>
        <v>32.66666666666697</v>
      </c>
      <c r="Q369" s="929">
        <f t="shared" si="60"/>
        <v>6.8514699199497264E-3</v>
      </c>
      <c r="R369" s="929">
        <f>SUM(Q366:Q369)</f>
        <v>1.2060247417486E-2</v>
      </c>
    </row>
    <row r="370" spans="1:19" x14ac:dyDescent="0.2">
      <c r="A370" s="927"/>
      <c r="B370" s="927" t="s">
        <v>230</v>
      </c>
      <c r="C370" s="927">
        <f t="shared" si="57"/>
        <v>4780</v>
      </c>
      <c r="D370" s="927">
        <f t="shared" si="57"/>
        <v>4815</v>
      </c>
      <c r="E370" s="927">
        <f t="shared" si="57"/>
        <v>4843</v>
      </c>
      <c r="F370" s="927">
        <f t="shared" si="57"/>
        <v>4851</v>
      </c>
      <c r="G370" s="927">
        <f t="shared" si="57"/>
        <v>4883</v>
      </c>
      <c r="H370" s="927">
        <f t="shared" si="57"/>
        <v>4792</v>
      </c>
      <c r="I370" s="927">
        <f t="shared" si="57"/>
        <v>4842</v>
      </c>
      <c r="J370" s="927">
        <f t="shared" si="57"/>
        <v>4977</v>
      </c>
      <c r="K370" s="927">
        <f t="shared" si="57"/>
        <v>4949</v>
      </c>
      <c r="L370" s="927">
        <f t="shared" si="57"/>
        <v>4956</v>
      </c>
      <c r="M370" s="927">
        <f t="shared" si="57"/>
        <v>5017</v>
      </c>
      <c r="N370" s="927">
        <f t="shared" si="57"/>
        <v>4991</v>
      </c>
      <c r="O370" s="928">
        <f t="shared" si="58"/>
        <v>4891.333333333333</v>
      </c>
      <c r="P370" s="928">
        <f t="shared" si="59"/>
        <v>87.33333333333303</v>
      </c>
      <c r="Q370" s="929">
        <f t="shared" si="60"/>
        <v>1.8364056914558006E-2</v>
      </c>
      <c r="R370" s="929">
        <f>SUM(Q366:Q370)</f>
        <v>3.0424304332044006E-2</v>
      </c>
    </row>
    <row r="371" spans="1:19" x14ac:dyDescent="0.2">
      <c r="A371" s="927"/>
      <c r="B371" s="927" t="s">
        <v>234</v>
      </c>
      <c r="C371" s="927">
        <f t="shared" si="57"/>
        <v>5030</v>
      </c>
      <c r="D371" s="927">
        <f t="shared" si="57"/>
        <v>5070</v>
      </c>
      <c r="E371" s="927">
        <f t="shared" si="57"/>
        <v>5041</v>
      </c>
      <c r="F371" s="927">
        <f t="shared" si="57"/>
        <v>5085</v>
      </c>
      <c r="G371" s="927">
        <f t="shared" si="57"/>
        <v>5067</v>
      </c>
      <c r="H371" s="927">
        <f t="shared" si="57"/>
        <v>5102</v>
      </c>
      <c r="I371" s="927">
        <f t="shared" si="57"/>
        <v>5086</v>
      </c>
      <c r="J371" s="927">
        <f t="shared" si="57"/>
        <v>5164</v>
      </c>
      <c r="K371" s="927">
        <f t="shared" si="57"/>
        <v>5141</v>
      </c>
      <c r="L371" s="927">
        <f t="shared" si="57"/>
        <v>5196</v>
      </c>
      <c r="M371" s="927">
        <f t="shared" si="57"/>
        <v>5262</v>
      </c>
      <c r="N371" s="927">
        <f t="shared" si="57"/>
        <v>5272</v>
      </c>
      <c r="O371" s="928">
        <f t="shared" si="58"/>
        <v>5126.333333333333</v>
      </c>
      <c r="P371" s="928">
        <f t="shared" si="59"/>
        <v>135.33333333333303</v>
      </c>
      <c r="Q371" s="929">
        <f t="shared" si="60"/>
        <v>2.7667984189723261E-2</v>
      </c>
      <c r="R371" s="929">
        <f>SUM(Q366:Q371)</f>
        <v>5.8092288521767267E-2</v>
      </c>
    </row>
    <row r="372" spans="1:19" x14ac:dyDescent="0.2">
      <c r="A372" s="927"/>
      <c r="B372" s="927" t="s">
        <v>235</v>
      </c>
      <c r="C372" s="927">
        <f t="shared" si="57"/>
        <v>5300</v>
      </c>
      <c r="D372" s="927">
        <f t="shared" si="57"/>
        <v>5270</v>
      </c>
      <c r="E372" s="927">
        <f t="shared" si="57"/>
        <v>5214</v>
      </c>
      <c r="F372" s="927">
        <f t="shared" si="57"/>
        <v>5280</v>
      </c>
      <c r="G372" s="927">
        <f t="shared" si="57"/>
        <v>5289</v>
      </c>
      <c r="H372" s="927">
        <f t="shared" si="57"/>
        <v>5344</v>
      </c>
      <c r="I372" s="927">
        <f t="shared" si="57"/>
        <v>5315</v>
      </c>
      <c r="J372" s="927">
        <f t="shared" si="57"/>
        <v>5326</v>
      </c>
      <c r="K372" s="927">
        <f t="shared" si="57"/>
        <v>5260</v>
      </c>
      <c r="L372" s="927">
        <f t="shared" si="57"/>
        <v>5801</v>
      </c>
      <c r="M372" s="927">
        <f t="shared" si="57"/>
        <v>5765</v>
      </c>
      <c r="N372" s="927">
        <f t="shared" si="57"/>
        <v>5296</v>
      </c>
      <c r="O372" s="928">
        <f t="shared" si="58"/>
        <v>5371.666666666667</v>
      </c>
      <c r="P372" s="928">
        <f t="shared" si="59"/>
        <v>99.66666666666697</v>
      </c>
      <c r="Q372" s="929">
        <f t="shared" si="60"/>
        <v>1.9442096365173349E-2</v>
      </c>
      <c r="R372" s="929">
        <f t="shared" ref="R372:R389" si="61">SUM(Q366:Q372)</f>
        <v>7.7534384886940616E-2</v>
      </c>
    </row>
    <row r="373" spans="1:19" x14ac:dyDescent="0.2">
      <c r="A373" s="927"/>
      <c r="B373" s="927" t="s">
        <v>236</v>
      </c>
      <c r="C373" s="927">
        <f t="shared" si="57"/>
        <v>5324</v>
      </c>
      <c r="D373" s="927">
        <f t="shared" si="57"/>
        <v>5413</v>
      </c>
      <c r="E373" s="927">
        <f t="shared" si="57"/>
        <v>5738</v>
      </c>
      <c r="F373" s="927">
        <f t="shared" si="57"/>
        <v>5475</v>
      </c>
      <c r="G373" s="927">
        <f t="shared" si="57"/>
        <v>5231</v>
      </c>
      <c r="H373" s="927">
        <f t="shared" si="57"/>
        <v>5265</v>
      </c>
      <c r="I373" s="927">
        <f t="shared" si="57"/>
        <v>5442</v>
      </c>
      <c r="J373" s="927">
        <f t="shared" si="57"/>
        <v>5402</v>
      </c>
      <c r="K373" s="927">
        <f t="shared" si="57"/>
        <v>5364</v>
      </c>
      <c r="L373" s="927">
        <f t="shared" si="57"/>
        <v>5409</v>
      </c>
      <c r="M373" s="927">
        <f t="shared" si="57"/>
        <v>5790</v>
      </c>
      <c r="N373" s="927">
        <f t="shared" si="57"/>
        <v>5890</v>
      </c>
      <c r="O373" s="928">
        <f t="shared" si="58"/>
        <v>5478.583333333333</v>
      </c>
      <c r="P373" s="928">
        <f t="shared" ref="P373:P384" si="62">SUM(O373-O372)</f>
        <v>106.91666666666606</v>
      </c>
      <c r="Q373" s="929">
        <f t="shared" si="60"/>
        <v>1.9903816320198459E-2</v>
      </c>
      <c r="R373" s="929">
        <f t="shared" si="61"/>
        <v>0.10181538052311213</v>
      </c>
    </row>
    <row r="374" spans="1:19" x14ac:dyDescent="0.2">
      <c r="A374" s="927"/>
      <c r="B374" s="927" t="s">
        <v>237</v>
      </c>
      <c r="C374" s="927">
        <f t="shared" si="57"/>
        <v>5636</v>
      </c>
      <c r="D374" s="927">
        <f t="shared" si="57"/>
        <v>5620</v>
      </c>
      <c r="E374" s="927">
        <f t="shared" si="57"/>
        <v>5623</v>
      </c>
      <c r="F374" s="927">
        <f t="shared" si="57"/>
        <v>5600</v>
      </c>
      <c r="G374" s="927">
        <f t="shared" si="57"/>
        <v>5642</v>
      </c>
      <c r="H374" s="927">
        <f t="shared" si="57"/>
        <v>5678</v>
      </c>
      <c r="I374" s="927">
        <f t="shared" si="57"/>
        <v>5668</v>
      </c>
      <c r="J374" s="927">
        <f t="shared" si="57"/>
        <v>5682</v>
      </c>
      <c r="K374" s="927">
        <f t="shared" si="57"/>
        <v>5707</v>
      </c>
      <c r="L374" s="927">
        <f t="shared" si="57"/>
        <v>5751</v>
      </c>
      <c r="M374" s="927">
        <f t="shared" si="57"/>
        <v>5791</v>
      </c>
      <c r="N374" s="927">
        <f t="shared" si="57"/>
        <v>5813</v>
      </c>
      <c r="O374" s="928">
        <f>SUM(C374:N374)/12</f>
        <v>5684.25</v>
      </c>
      <c r="P374" s="928">
        <f t="shared" si="62"/>
        <v>205.66666666666697</v>
      </c>
      <c r="Q374" s="929">
        <f t="shared" si="60"/>
        <v>3.7540118339595148E-2</v>
      </c>
      <c r="R374" s="929">
        <f t="shared" si="61"/>
        <v>0.1074632498903057</v>
      </c>
    </row>
    <row r="375" spans="1:19" x14ac:dyDescent="0.2">
      <c r="A375" s="927"/>
      <c r="B375" s="927" t="s">
        <v>261</v>
      </c>
      <c r="C375" s="927">
        <f t="shared" si="57"/>
        <v>5792</v>
      </c>
      <c r="D375" s="927">
        <f t="shared" si="57"/>
        <v>5837</v>
      </c>
      <c r="E375" s="927">
        <f t="shared" si="57"/>
        <v>5783</v>
      </c>
      <c r="F375" s="927">
        <f t="shared" si="57"/>
        <v>5776</v>
      </c>
      <c r="G375" s="927">
        <f t="shared" si="57"/>
        <v>5691</v>
      </c>
      <c r="H375" s="927">
        <f t="shared" si="57"/>
        <v>5868</v>
      </c>
      <c r="I375" s="927">
        <f t="shared" si="57"/>
        <v>5812</v>
      </c>
      <c r="J375" s="927">
        <f t="shared" si="57"/>
        <v>5855</v>
      </c>
      <c r="K375" s="927">
        <f t="shared" si="57"/>
        <v>5867</v>
      </c>
      <c r="L375" s="927">
        <f t="shared" si="57"/>
        <v>5881</v>
      </c>
      <c r="M375" s="927">
        <f t="shared" si="57"/>
        <v>5824</v>
      </c>
      <c r="N375" s="927">
        <f t="shared" si="57"/>
        <v>5846</v>
      </c>
      <c r="O375" s="928">
        <f>SUM(C375:N375)/12</f>
        <v>5819.333333333333</v>
      </c>
      <c r="P375" s="928">
        <f t="shared" si="62"/>
        <v>135.08333333333303</v>
      </c>
      <c r="Q375" s="929">
        <f t="shared" ref="Q375:Q380" si="63">SUM(P375/O374)</f>
        <v>2.3764495462608618E-2</v>
      </c>
      <c r="R375" s="929">
        <f t="shared" si="61"/>
        <v>0.15353403751180655</v>
      </c>
    </row>
    <row r="376" spans="1:19" x14ac:dyDescent="0.2">
      <c r="A376" s="927"/>
      <c r="B376" s="927" t="s">
        <v>280</v>
      </c>
      <c r="C376" s="927">
        <f t="shared" si="57"/>
        <v>5909</v>
      </c>
      <c r="D376" s="927">
        <f t="shared" si="57"/>
        <v>5921</v>
      </c>
      <c r="E376" s="927">
        <f t="shared" si="57"/>
        <v>5881</v>
      </c>
      <c r="F376" s="927">
        <f t="shared" si="57"/>
        <v>5938</v>
      </c>
      <c r="G376" s="927">
        <f t="shared" si="57"/>
        <v>5963</v>
      </c>
      <c r="H376" s="927">
        <f t="shared" si="57"/>
        <v>5986</v>
      </c>
      <c r="I376" s="927">
        <f t="shared" si="57"/>
        <v>5927</v>
      </c>
      <c r="J376" s="927">
        <f t="shared" si="57"/>
        <v>5974</v>
      </c>
      <c r="K376" s="927">
        <f t="shared" si="57"/>
        <v>6009</v>
      </c>
      <c r="L376" s="927">
        <f t="shared" si="57"/>
        <v>6021</v>
      </c>
      <c r="M376" s="927">
        <f t="shared" si="57"/>
        <v>5978</v>
      </c>
      <c r="N376" s="927">
        <f t="shared" si="57"/>
        <v>5883</v>
      </c>
      <c r="O376" s="928">
        <f>SUM(C376:N376)/12</f>
        <v>5949.166666666667</v>
      </c>
      <c r="P376" s="928">
        <f t="shared" si="62"/>
        <v>129.83333333333394</v>
      </c>
      <c r="Q376" s="929">
        <f t="shared" si="63"/>
        <v>2.2310688509565919E-2</v>
      </c>
      <c r="R376" s="929">
        <f t="shared" si="61"/>
        <v>0.16899325610142274</v>
      </c>
    </row>
    <row r="377" spans="1:19" x14ac:dyDescent="0.2">
      <c r="A377" s="927"/>
      <c r="B377" s="927" t="s">
        <v>339</v>
      </c>
      <c r="C377" s="927">
        <f t="shared" si="57"/>
        <v>5999</v>
      </c>
      <c r="D377" s="927">
        <f t="shared" si="57"/>
        <v>6010</v>
      </c>
      <c r="E377" s="927">
        <f t="shared" si="57"/>
        <v>6006</v>
      </c>
      <c r="F377" s="927">
        <f t="shared" si="57"/>
        <v>6022</v>
      </c>
      <c r="G377" s="927">
        <f t="shared" si="57"/>
        <v>6027</v>
      </c>
      <c r="H377" s="927">
        <f t="shared" si="57"/>
        <v>6072</v>
      </c>
      <c r="I377" s="927">
        <f t="shared" si="57"/>
        <v>6094</v>
      </c>
      <c r="J377" s="927">
        <f t="shared" si="57"/>
        <v>6090</v>
      </c>
      <c r="K377" s="927">
        <f t="shared" si="57"/>
        <v>6044</v>
      </c>
      <c r="L377" s="927">
        <f t="shared" si="57"/>
        <v>6053</v>
      </c>
      <c r="M377" s="927">
        <f t="shared" si="57"/>
        <v>6097</v>
      </c>
      <c r="N377" s="927">
        <f t="shared" si="57"/>
        <v>6122</v>
      </c>
      <c r="O377" s="928">
        <f>SUM(C377:N377)/12</f>
        <v>6053</v>
      </c>
      <c r="P377" s="928">
        <f t="shared" si="62"/>
        <v>103.83333333333303</v>
      </c>
      <c r="Q377" s="929">
        <f t="shared" si="63"/>
        <v>1.7453424849418635E-2</v>
      </c>
      <c r="R377" s="929">
        <f t="shared" si="61"/>
        <v>0.16808262403628338</v>
      </c>
    </row>
    <row r="378" spans="1:19" x14ac:dyDescent="0.2">
      <c r="A378" s="927"/>
      <c r="B378" s="927" t="s">
        <v>348</v>
      </c>
      <c r="C378" s="927">
        <f t="shared" ref="C378:O389" si="64">SUM(C16,C42,C69,C95,C122,C148,C175,C201,C228,C254,C281,C307,C334,C351)</f>
        <v>6219</v>
      </c>
      <c r="D378" s="927">
        <f t="shared" si="64"/>
        <v>6195</v>
      </c>
      <c r="E378" s="927">
        <f t="shared" si="64"/>
        <v>6211</v>
      </c>
      <c r="F378" s="927">
        <f t="shared" si="64"/>
        <v>6268</v>
      </c>
      <c r="G378" s="927">
        <f t="shared" si="64"/>
        <v>6289</v>
      </c>
      <c r="H378" s="927">
        <f t="shared" si="64"/>
        <v>6246</v>
      </c>
      <c r="I378" s="927">
        <f t="shared" si="64"/>
        <v>6283</v>
      </c>
      <c r="J378" s="927">
        <f t="shared" si="64"/>
        <v>6294</v>
      </c>
      <c r="K378" s="927">
        <f t="shared" si="64"/>
        <v>6169</v>
      </c>
      <c r="L378" s="927">
        <f t="shared" si="64"/>
        <v>6109</v>
      </c>
      <c r="M378" s="927">
        <f t="shared" si="64"/>
        <v>6183</v>
      </c>
      <c r="N378" s="927">
        <f t="shared" si="64"/>
        <v>6197</v>
      </c>
      <c r="O378" s="928">
        <f t="shared" si="64"/>
        <v>6221.9166666666652</v>
      </c>
      <c r="P378" s="928">
        <f t="shared" si="62"/>
        <v>168.91666666666515</v>
      </c>
      <c r="Q378" s="929">
        <f t="shared" si="63"/>
        <v>2.7906272371826392E-2</v>
      </c>
      <c r="R378" s="929">
        <f t="shared" si="61"/>
        <v>0.16832091221838652</v>
      </c>
    </row>
    <row r="379" spans="1:19" x14ac:dyDescent="0.2">
      <c r="A379" s="927"/>
      <c r="B379" s="927" t="s">
        <v>401</v>
      </c>
      <c r="C379" s="927">
        <f t="shared" si="64"/>
        <v>6254</v>
      </c>
      <c r="D379" s="927">
        <f t="shared" si="64"/>
        <v>6195</v>
      </c>
      <c r="E379" s="927">
        <f t="shared" si="64"/>
        <v>6259</v>
      </c>
      <c r="F379" s="927">
        <f t="shared" si="64"/>
        <v>6210</v>
      </c>
      <c r="G379" s="927">
        <f t="shared" si="64"/>
        <v>6164</v>
      </c>
      <c r="H379" s="927">
        <f t="shared" si="64"/>
        <v>6214</v>
      </c>
      <c r="I379" s="927">
        <f t="shared" si="64"/>
        <v>6176</v>
      </c>
      <c r="J379" s="927">
        <f t="shared" si="64"/>
        <v>6172</v>
      </c>
      <c r="K379" s="927">
        <f t="shared" si="64"/>
        <v>6086</v>
      </c>
      <c r="L379" s="927">
        <f t="shared" si="64"/>
        <v>6077</v>
      </c>
      <c r="M379" s="927">
        <f t="shared" si="64"/>
        <v>6086</v>
      </c>
      <c r="N379" s="927">
        <f t="shared" si="64"/>
        <v>6159</v>
      </c>
      <c r="O379" s="927">
        <f t="shared" si="64"/>
        <v>6171.0000000000009</v>
      </c>
      <c r="P379" s="928">
        <f t="shared" si="62"/>
        <v>-50.916666666664241</v>
      </c>
      <c r="Q379" s="929">
        <f t="shared" si="63"/>
        <v>-8.1834375795236062E-3</v>
      </c>
      <c r="R379" s="929">
        <f t="shared" si="61"/>
        <v>0.14069537827368955</v>
      </c>
    </row>
    <row r="380" spans="1:19" x14ac:dyDescent="0.2">
      <c r="A380" s="927"/>
      <c r="B380" s="927" t="s">
        <v>414</v>
      </c>
      <c r="C380" s="927">
        <f t="shared" si="64"/>
        <v>6046</v>
      </c>
      <c r="D380" s="927">
        <f t="shared" si="64"/>
        <v>5977</v>
      </c>
      <c r="E380" s="927">
        <f t="shared" si="64"/>
        <v>5919</v>
      </c>
      <c r="F380" s="927">
        <f t="shared" si="64"/>
        <v>5878</v>
      </c>
      <c r="G380" s="927">
        <f t="shared" si="64"/>
        <v>5876</v>
      </c>
      <c r="H380" s="927">
        <f t="shared" si="64"/>
        <v>5773</v>
      </c>
      <c r="I380" s="927">
        <f t="shared" si="64"/>
        <v>5785</v>
      </c>
      <c r="J380" s="927">
        <f t="shared" si="64"/>
        <v>5754</v>
      </c>
      <c r="K380" s="927">
        <f t="shared" si="64"/>
        <v>5747</v>
      </c>
      <c r="L380" s="927">
        <f t="shared" si="64"/>
        <v>5612</v>
      </c>
      <c r="M380" s="927">
        <f t="shared" si="64"/>
        <v>5667</v>
      </c>
      <c r="N380" s="927">
        <f t="shared" si="64"/>
        <v>5672</v>
      </c>
      <c r="O380" s="928">
        <f t="shared" si="64"/>
        <v>5808.833333333333</v>
      </c>
      <c r="P380" s="928">
        <f t="shared" si="62"/>
        <v>-362.16666666666788</v>
      </c>
      <c r="Q380" s="929">
        <f t="shared" si="63"/>
        <v>-5.8688489169772783E-2</v>
      </c>
      <c r="R380" s="929">
        <f t="shared" si="61"/>
        <v>6.2103072783718329E-2</v>
      </c>
    </row>
    <row r="381" spans="1:19" x14ac:dyDescent="0.2">
      <c r="A381" s="927"/>
      <c r="B381" s="927" t="s">
        <v>415</v>
      </c>
      <c r="C381" s="927">
        <f t="shared" si="64"/>
        <v>5433</v>
      </c>
      <c r="D381" s="927">
        <f t="shared" si="64"/>
        <v>5487</v>
      </c>
      <c r="E381" s="927">
        <f t="shared" si="64"/>
        <v>5411</v>
      </c>
      <c r="F381" s="927">
        <f t="shared" si="64"/>
        <v>5423</v>
      </c>
      <c r="G381" s="927">
        <f t="shared" si="64"/>
        <v>5368</v>
      </c>
      <c r="H381" s="927">
        <f t="shared" si="64"/>
        <v>5293</v>
      </c>
      <c r="I381" s="927">
        <f t="shared" si="64"/>
        <v>5267</v>
      </c>
      <c r="J381" s="927">
        <f t="shared" si="64"/>
        <v>5284</v>
      </c>
      <c r="K381" s="927">
        <f t="shared" si="64"/>
        <v>5341</v>
      </c>
      <c r="L381" s="927">
        <f t="shared" si="64"/>
        <v>5347</v>
      </c>
      <c r="M381" s="927">
        <f t="shared" si="64"/>
        <v>5336</v>
      </c>
      <c r="N381" s="927">
        <f t="shared" si="64"/>
        <v>5326</v>
      </c>
      <c r="O381" s="928">
        <f t="shared" si="64"/>
        <v>5359.6666666666661</v>
      </c>
      <c r="P381" s="928">
        <f t="shared" si="62"/>
        <v>-449.16666666666697</v>
      </c>
      <c r="Q381" s="929">
        <f t="shared" ref="Q381:Q386" si="65">SUM(P381/O380)</f>
        <v>-7.7324764008837171E-2</v>
      </c>
      <c r="R381" s="929">
        <f t="shared" si="61"/>
        <v>-5.2761809564714011E-2</v>
      </c>
    </row>
    <row r="382" spans="1:19" x14ac:dyDescent="0.2">
      <c r="A382" s="927"/>
      <c r="B382" s="927" t="s">
        <v>626</v>
      </c>
      <c r="C382" s="927">
        <f t="shared" si="64"/>
        <v>5219</v>
      </c>
      <c r="D382" s="927">
        <f t="shared" si="64"/>
        <v>5269</v>
      </c>
      <c r="E382" s="927">
        <f t="shared" si="64"/>
        <v>5324</v>
      </c>
      <c r="F382" s="927">
        <f t="shared" si="64"/>
        <v>5315</v>
      </c>
      <c r="G382" s="927">
        <f t="shared" si="64"/>
        <v>5268</v>
      </c>
      <c r="H382" s="927">
        <f t="shared" si="64"/>
        <v>5235</v>
      </c>
      <c r="I382" s="927">
        <f t="shared" si="64"/>
        <v>5264</v>
      </c>
      <c r="J382" s="927">
        <f t="shared" si="64"/>
        <v>5178</v>
      </c>
      <c r="K382" s="927">
        <f t="shared" si="64"/>
        <v>5152</v>
      </c>
      <c r="L382" s="927">
        <f t="shared" si="64"/>
        <v>5033</v>
      </c>
      <c r="M382" s="927">
        <f t="shared" si="64"/>
        <v>5006</v>
      </c>
      <c r="N382" s="927">
        <f t="shared" si="64"/>
        <v>4982</v>
      </c>
      <c r="O382" s="928">
        <f t="shared" si="64"/>
        <v>5187.0833333333339</v>
      </c>
      <c r="P382" s="928">
        <f t="shared" si="62"/>
        <v>-172.58333333333212</v>
      </c>
      <c r="Q382" s="929">
        <f t="shared" si="65"/>
        <v>-3.2200385596118937E-2</v>
      </c>
      <c r="R382" s="929">
        <f t="shared" si="61"/>
        <v>-0.10872669062344156</v>
      </c>
      <c r="S382" s="477" t="s">
        <v>793</v>
      </c>
    </row>
    <row r="383" spans="1:19" x14ac:dyDescent="0.2">
      <c r="A383" s="927"/>
      <c r="B383" s="927" t="s">
        <v>627</v>
      </c>
      <c r="C383" s="927">
        <f t="shared" si="64"/>
        <v>4882</v>
      </c>
      <c r="D383" s="927">
        <f t="shared" si="64"/>
        <v>4681</v>
      </c>
      <c r="E383" s="927">
        <f t="shared" si="64"/>
        <v>4495</v>
      </c>
      <c r="F383" s="927">
        <f t="shared" si="64"/>
        <v>4435</v>
      </c>
      <c r="G383" s="927">
        <f t="shared" si="64"/>
        <v>4323</v>
      </c>
      <c r="H383" s="927">
        <f t="shared" si="64"/>
        <v>4276</v>
      </c>
      <c r="I383" s="927">
        <f t="shared" si="64"/>
        <v>4217</v>
      </c>
      <c r="J383" s="927">
        <f t="shared" si="64"/>
        <v>4158</v>
      </c>
      <c r="K383" s="927">
        <f t="shared" si="64"/>
        <v>4144</v>
      </c>
      <c r="L383" s="927">
        <f t="shared" si="64"/>
        <v>4075</v>
      </c>
      <c r="M383" s="927">
        <f t="shared" si="64"/>
        <v>3998</v>
      </c>
      <c r="N383" s="927">
        <f t="shared" si="64"/>
        <v>3940</v>
      </c>
      <c r="O383" s="928">
        <f t="shared" si="64"/>
        <v>4301.9999999999991</v>
      </c>
      <c r="P383" s="928">
        <f t="shared" si="62"/>
        <v>-885.08333333333485</v>
      </c>
      <c r="Q383" s="929">
        <f t="shared" si="65"/>
        <v>-0.17063217929150962</v>
      </c>
      <c r="R383" s="929">
        <f t="shared" si="61"/>
        <v>-0.30166955842451709</v>
      </c>
      <c r="S383" s="477" t="s">
        <v>794</v>
      </c>
    </row>
    <row r="384" spans="1:19" x14ac:dyDescent="0.2">
      <c r="A384" s="927"/>
      <c r="B384" s="927" t="s">
        <v>674</v>
      </c>
      <c r="C384" s="927">
        <f t="shared" si="64"/>
        <v>3856</v>
      </c>
      <c r="D384" s="927">
        <f t="shared" si="64"/>
        <v>3720</v>
      </c>
      <c r="E384" s="927">
        <f t="shared" si="64"/>
        <v>3727</v>
      </c>
      <c r="F384" s="927">
        <f t="shared" si="64"/>
        <v>3674</v>
      </c>
      <c r="G384" s="927">
        <f t="shared" si="64"/>
        <v>3583</v>
      </c>
      <c r="H384" s="927">
        <f t="shared" si="64"/>
        <v>3565</v>
      </c>
      <c r="I384" s="927">
        <f t="shared" si="64"/>
        <v>3522</v>
      </c>
      <c r="J384" s="927">
        <f t="shared" si="64"/>
        <v>3547</v>
      </c>
      <c r="K384" s="927">
        <f t="shared" si="64"/>
        <v>3669</v>
      </c>
      <c r="L384" s="927">
        <f t="shared" si="64"/>
        <v>3648</v>
      </c>
      <c r="M384" s="927">
        <f t="shared" si="64"/>
        <v>3725</v>
      </c>
      <c r="N384" s="927">
        <f t="shared" si="64"/>
        <v>3641</v>
      </c>
      <c r="O384" s="928">
        <f t="shared" si="64"/>
        <v>3656.4166666666665</v>
      </c>
      <c r="P384" s="928">
        <f t="shared" si="62"/>
        <v>-645.58333333333258</v>
      </c>
      <c r="Q384" s="929">
        <f t="shared" si="65"/>
        <v>-0.15006586083991927</v>
      </c>
      <c r="R384" s="929">
        <f t="shared" si="61"/>
        <v>-0.46918884411385497</v>
      </c>
      <c r="S384" s="477" t="s">
        <v>795</v>
      </c>
    </row>
    <row r="385" spans="1:19" x14ac:dyDescent="0.2">
      <c r="A385" s="927"/>
      <c r="B385" s="930" t="s">
        <v>692</v>
      </c>
      <c r="C385" s="927">
        <f t="shared" si="64"/>
        <v>3581</v>
      </c>
      <c r="D385" s="927">
        <f t="shared" si="64"/>
        <v>3498</v>
      </c>
      <c r="E385" s="927">
        <f t="shared" si="64"/>
        <v>3542</v>
      </c>
      <c r="F385" s="927">
        <f t="shared" si="64"/>
        <v>3559</v>
      </c>
      <c r="G385" s="927">
        <f t="shared" si="64"/>
        <v>3567</v>
      </c>
      <c r="H385" s="927">
        <f t="shared" si="64"/>
        <v>3615</v>
      </c>
      <c r="I385" s="927">
        <f t="shared" si="64"/>
        <v>3638</v>
      </c>
      <c r="J385" s="927">
        <f t="shared" si="64"/>
        <v>3635</v>
      </c>
      <c r="K385" s="927">
        <f t="shared" si="64"/>
        <v>3647</v>
      </c>
      <c r="L385" s="927">
        <f t="shared" si="64"/>
        <v>3641</v>
      </c>
      <c r="M385" s="927">
        <f t="shared" si="64"/>
        <v>3770</v>
      </c>
      <c r="N385" s="927">
        <f t="shared" si="64"/>
        <v>3686</v>
      </c>
      <c r="O385" s="928">
        <f t="shared" si="64"/>
        <v>3614.9166666666665</v>
      </c>
      <c r="P385" s="928">
        <f>SUM(O385-O384)</f>
        <v>-41.5</v>
      </c>
      <c r="Q385" s="929">
        <f t="shared" si="65"/>
        <v>-1.1349909975613647E-2</v>
      </c>
      <c r="R385" s="929">
        <f t="shared" si="61"/>
        <v>-0.50844502646129508</v>
      </c>
      <c r="S385" s="477" t="s">
        <v>0</v>
      </c>
    </row>
    <row r="386" spans="1:19" x14ac:dyDescent="0.2">
      <c r="A386" s="927"/>
      <c r="B386" s="930" t="s">
        <v>700</v>
      </c>
      <c r="C386" s="927">
        <f t="shared" si="64"/>
        <v>3700</v>
      </c>
      <c r="D386" s="927">
        <f t="shared" si="64"/>
        <v>3684</v>
      </c>
      <c r="E386" s="927">
        <f t="shared" si="64"/>
        <v>3610</v>
      </c>
      <c r="F386" s="927">
        <f t="shared" si="64"/>
        <v>3583</v>
      </c>
      <c r="G386" s="927">
        <f t="shared" si="64"/>
        <v>3617</v>
      </c>
      <c r="H386" s="927">
        <f t="shared" si="64"/>
        <v>3615</v>
      </c>
      <c r="I386" s="927">
        <f t="shared" si="64"/>
        <v>3659</v>
      </c>
      <c r="J386" s="927">
        <f t="shared" si="64"/>
        <v>3629</v>
      </c>
      <c r="K386" s="927">
        <f t="shared" si="64"/>
        <v>3646</v>
      </c>
      <c r="L386" s="927">
        <f t="shared" si="64"/>
        <v>3663</v>
      </c>
      <c r="M386" s="927">
        <f t="shared" si="64"/>
        <v>3659</v>
      </c>
      <c r="N386" s="927">
        <f t="shared" si="64"/>
        <v>3734</v>
      </c>
      <c r="O386" s="928">
        <f t="shared" si="64"/>
        <v>3649.9166666666665</v>
      </c>
      <c r="P386" s="928">
        <f>SUM(O386-O385)</f>
        <v>35</v>
      </c>
      <c r="Q386" s="929">
        <f t="shared" si="65"/>
        <v>9.6821042439890273E-3</v>
      </c>
      <c r="R386" s="929">
        <f t="shared" si="61"/>
        <v>-0.49057948463778239</v>
      </c>
    </row>
    <row r="387" spans="1:19" x14ac:dyDescent="0.2">
      <c r="A387" s="927"/>
      <c r="B387" s="930" t="s">
        <v>737</v>
      </c>
      <c r="C387" s="927">
        <f t="shared" si="64"/>
        <v>3795</v>
      </c>
      <c r="D387" s="927">
        <f t="shared" si="64"/>
        <v>3751</v>
      </c>
      <c r="E387" s="927">
        <f t="shared" si="64"/>
        <v>3758</v>
      </c>
      <c r="F387" s="927">
        <f t="shared" si="64"/>
        <v>3760</v>
      </c>
      <c r="G387" s="927">
        <f t="shared" si="64"/>
        <v>3747</v>
      </c>
      <c r="H387" s="927">
        <f t="shared" si="64"/>
        <v>3762</v>
      </c>
      <c r="I387" s="927">
        <f t="shared" si="64"/>
        <v>3741</v>
      </c>
      <c r="J387" s="927">
        <f t="shared" si="64"/>
        <v>3777</v>
      </c>
      <c r="K387" s="927">
        <f t="shared" si="64"/>
        <v>3793</v>
      </c>
      <c r="L387" s="927">
        <f t="shared" si="64"/>
        <v>3807</v>
      </c>
      <c r="M387" s="927">
        <f t="shared" si="64"/>
        <v>3822</v>
      </c>
      <c r="N387" s="927">
        <f t="shared" si="64"/>
        <v>3834</v>
      </c>
      <c r="O387" s="928">
        <f t="shared" si="64"/>
        <v>3778.9166666666665</v>
      </c>
      <c r="P387" s="928">
        <f>SUM(O387-O386)</f>
        <v>129</v>
      </c>
      <c r="Q387" s="929">
        <f>SUM(P387/O386)</f>
        <v>3.534327267745839E-2</v>
      </c>
      <c r="R387" s="929">
        <f t="shared" si="61"/>
        <v>-0.39654772279055117</v>
      </c>
    </row>
    <row r="388" spans="1:19" x14ac:dyDescent="0.2">
      <c r="A388" s="927"/>
      <c r="B388" s="930" t="s">
        <v>792</v>
      </c>
      <c r="C388" s="927">
        <f t="shared" si="64"/>
        <v>3866</v>
      </c>
      <c r="D388" s="927">
        <f t="shared" si="64"/>
        <v>3883</v>
      </c>
      <c r="E388" s="927">
        <f t="shared" si="64"/>
        <v>3906</v>
      </c>
      <c r="F388" s="927">
        <f t="shared" si="64"/>
        <v>3927</v>
      </c>
      <c r="G388" s="927">
        <f t="shared" si="64"/>
        <v>3898</v>
      </c>
      <c r="H388" s="927">
        <f t="shared" si="64"/>
        <v>3884</v>
      </c>
      <c r="I388" s="927">
        <f t="shared" si="64"/>
        <v>3878</v>
      </c>
      <c r="J388" s="927">
        <f t="shared" si="64"/>
        <v>3862</v>
      </c>
      <c r="K388" s="927">
        <f t="shared" si="64"/>
        <v>3882</v>
      </c>
      <c r="L388" s="927">
        <f t="shared" si="64"/>
        <v>3907</v>
      </c>
      <c r="M388" s="927">
        <f t="shared" si="64"/>
        <v>3916</v>
      </c>
      <c r="N388" s="927">
        <f t="shared" si="64"/>
        <v>3961</v>
      </c>
      <c r="O388" s="928">
        <f t="shared" si="64"/>
        <v>3897.4999999999991</v>
      </c>
      <c r="P388" s="928">
        <f>SUM(O388-O387)</f>
        <v>118.58333333333258</v>
      </c>
      <c r="Q388" s="929">
        <f>SUM(P388/O387)</f>
        <v>3.1380245661234284E-2</v>
      </c>
      <c r="R388" s="929">
        <f t="shared" si="61"/>
        <v>-0.28784271312047977</v>
      </c>
    </row>
    <row r="389" spans="1:19" x14ac:dyDescent="0.2">
      <c r="A389" s="927"/>
      <c r="B389" s="930" t="s">
        <v>959</v>
      </c>
      <c r="C389" s="927">
        <f t="shared" si="64"/>
        <v>3989</v>
      </c>
      <c r="D389" s="927">
        <f t="shared" si="64"/>
        <v>4003</v>
      </c>
      <c r="E389" s="927">
        <f t="shared" si="64"/>
        <v>3984</v>
      </c>
      <c r="F389" s="927">
        <f t="shared" si="64"/>
        <v>4004</v>
      </c>
      <c r="G389" s="927">
        <f t="shared" si="64"/>
        <v>3977</v>
      </c>
      <c r="H389" s="927">
        <f t="shared" si="64"/>
        <v>3971</v>
      </c>
      <c r="I389" s="927">
        <f t="shared" si="64"/>
        <v>4014</v>
      </c>
      <c r="J389" s="927">
        <f t="shared" si="64"/>
        <v>4040</v>
      </c>
      <c r="K389" s="927">
        <f t="shared" si="64"/>
        <v>3934</v>
      </c>
      <c r="L389" s="927">
        <f t="shared" si="64"/>
        <v>3888</v>
      </c>
      <c r="M389" s="927">
        <f t="shared" si="64"/>
        <v>3905</v>
      </c>
      <c r="N389" s="927">
        <f t="shared" si="64"/>
        <v>3909</v>
      </c>
      <c r="O389" s="932">
        <f t="shared" si="64"/>
        <v>3968.1666666666661</v>
      </c>
      <c r="P389" s="928">
        <f>SUM(O389-O388)</f>
        <v>70.66666666666697</v>
      </c>
      <c r="Q389" s="929">
        <f>SUM(P389/O388)</f>
        <v>1.8131280735514302E-2</v>
      </c>
      <c r="R389" s="929">
        <f t="shared" si="61"/>
        <v>-0.23751104678884655</v>
      </c>
    </row>
    <row r="390" spans="1:19" x14ac:dyDescent="0.2">
      <c r="A390" s="927"/>
      <c r="B390" s="927"/>
      <c r="C390" s="927"/>
      <c r="D390" s="927"/>
      <c r="E390" s="927"/>
      <c r="F390" s="927"/>
      <c r="G390" s="927"/>
      <c r="H390" s="927"/>
      <c r="I390" s="927"/>
      <c r="J390" s="927"/>
      <c r="K390" s="927"/>
      <c r="L390" s="927"/>
      <c r="M390" s="927"/>
      <c r="N390" s="927"/>
      <c r="O390" s="927"/>
      <c r="P390" s="927"/>
      <c r="Q390" s="927"/>
      <c r="R390" s="927"/>
    </row>
    <row r="391" spans="1:19" x14ac:dyDescent="0.2">
      <c r="B391" s="477"/>
      <c r="O391" s="95"/>
      <c r="P391" s="95"/>
      <c r="Q391" s="99"/>
      <c r="R391" s="99"/>
    </row>
    <row r="393" spans="1:19" s="422" customFormat="1" x14ac:dyDescent="0.2">
      <c r="A393" s="823" t="s">
        <v>962</v>
      </c>
      <c r="H393" s="824">
        <f>O389</f>
        <v>3968.1666666666661</v>
      </c>
    </row>
    <row r="397" spans="1:19" x14ac:dyDescent="0.2">
      <c r="A397" s="430" t="s">
        <v>899</v>
      </c>
    </row>
  </sheetData>
  <phoneticPr fontId="64" type="noConversion"/>
  <printOptions horizontalCentered="1"/>
  <pageMargins left="0" right="0" top="1" bottom="1" header="0.33" footer="0.5"/>
  <pageSetup scale="87" fitToHeight="0" orientation="landscape" r:id="rId1"/>
  <headerFooter alignWithMargins="0">
    <oddHeader>&amp;C&amp;"Arial,Bold"&amp;12DEPARTMENT OF CORRECTIONS
 2025 COST OF CARE 
(Based on FY2024 Actuals)</oddHeader>
    <oddFooter>&amp;L&amp;8&amp;F &amp;A&amp;R&amp;8&amp;D &amp;T</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7" tint="0.59999389629810485"/>
    <pageSetUpPr fitToPage="1"/>
  </sheetPr>
  <dimension ref="A1:AL125"/>
  <sheetViews>
    <sheetView showGridLines="0" zoomScale="89" zoomScaleNormal="89" workbookViewId="0">
      <selection activeCell="X5" sqref="X5"/>
    </sheetView>
  </sheetViews>
  <sheetFormatPr defaultRowHeight="12.75" x14ac:dyDescent="0.2"/>
  <cols>
    <col min="1" max="1" width="28" customWidth="1"/>
    <col min="2" max="2" width="10.28515625" customWidth="1"/>
    <col min="3" max="3" width="7.85546875" customWidth="1"/>
    <col min="4" max="4" width="8.5703125" bestFit="1" customWidth="1"/>
    <col min="5" max="5" width="9.140625" customWidth="1"/>
    <col min="6" max="6" width="10.5703125" customWidth="1"/>
    <col min="7" max="7" width="12" customWidth="1"/>
    <col min="8" max="8" width="9.28515625" customWidth="1"/>
    <col min="9" max="9" width="8.7109375" customWidth="1"/>
    <col min="10" max="10" width="8.5703125" customWidth="1"/>
    <col min="11" max="11" width="10.140625" customWidth="1"/>
    <col min="12" max="12" width="12.140625" customWidth="1"/>
    <col min="13" max="13" width="9.85546875" customWidth="1"/>
    <col min="14" max="15" width="8.5703125" bestFit="1" customWidth="1"/>
    <col min="16" max="16" width="10.5703125" customWidth="1"/>
    <col min="17" max="17" width="11" customWidth="1"/>
    <col min="18" max="18" width="9.28515625" customWidth="1"/>
    <col min="19" max="19" width="8.42578125" bestFit="1" customWidth="1"/>
    <col min="20" max="20" width="8.5703125" customWidth="1"/>
    <col min="21" max="21" width="10.140625" customWidth="1"/>
    <col min="22" max="22" width="10.85546875" customWidth="1"/>
    <col min="23" max="23" width="11.7109375" customWidth="1"/>
    <col min="24" max="25" width="11" customWidth="1"/>
    <col min="27" max="27" width="13.42578125" bestFit="1" customWidth="1"/>
  </cols>
  <sheetData>
    <row r="1" spans="1:38" ht="39" customHeight="1" thickBot="1" x14ac:dyDescent="0.25">
      <c r="A1" s="676" t="s">
        <v>135</v>
      </c>
      <c r="B1" s="873"/>
      <c r="C1" s="6"/>
      <c r="D1" s="634"/>
      <c r="E1" s="634"/>
      <c r="F1" s="634"/>
      <c r="G1" s="8"/>
      <c r="H1" s="635"/>
      <c r="I1" s="8"/>
      <c r="J1" s="8"/>
      <c r="K1" s="8"/>
      <c r="L1" s="8"/>
      <c r="M1" s="8"/>
      <c r="N1" s="8"/>
      <c r="O1" s="8"/>
      <c r="P1" s="8"/>
      <c r="Q1" s="8"/>
      <c r="R1" s="8"/>
      <c r="S1" s="8"/>
      <c r="T1" s="8"/>
      <c r="U1" s="8"/>
      <c r="V1" s="8"/>
      <c r="W1" s="8"/>
      <c r="X1" s="8"/>
      <c r="Y1" s="8"/>
    </row>
    <row r="2" spans="1:38" ht="15" customHeight="1" thickBot="1" x14ac:dyDescent="0.3">
      <c r="A2" s="943" t="s">
        <v>887</v>
      </c>
      <c r="B2" s="1021" t="s">
        <v>133</v>
      </c>
      <c r="C2" s="1022"/>
      <c r="D2" s="1022"/>
      <c r="E2" s="1022"/>
      <c r="F2" s="1022"/>
      <c r="G2" s="1022"/>
      <c r="H2" s="1022"/>
      <c r="I2" s="1022"/>
      <c r="J2" s="1022"/>
      <c r="K2" s="1022"/>
      <c r="L2" s="1022"/>
      <c r="M2" s="1022"/>
      <c r="N2" s="1022"/>
      <c r="O2" s="1022"/>
      <c r="P2" s="1022"/>
      <c r="Q2" s="1022"/>
      <c r="R2" s="1022"/>
      <c r="S2" s="1022"/>
      <c r="T2" s="1022"/>
      <c r="U2" s="1022"/>
      <c r="V2" s="633"/>
      <c r="W2" s="633"/>
      <c r="X2" s="58"/>
      <c r="Y2" s="8"/>
    </row>
    <row r="3" spans="1:38" ht="23.25" customHeight="1" x14ac:dyDescent="0.25">
      <c r="A3" s="35"/>
      <c r="B3" s="25" t="s">
        <v>418</v>
      </c>
      <c r="C3" s="1019" t="s">
        <v>419</v>
      </c>
      <c r="D3" s="636"/>
      <c r="E3" s="36"/>
      <c r="F3" s="36"/>
      <c r="G3" s="1013" t="s">
        <v>224</v>
      </c>
      <c r="H3" s="1023" t="s">
        <v>229</v>
      </c>
      <c r="I3" s="36"/>
      <c r="J3" s="36"/>
      <c r="K3" s="36"/>
      <c r="L3" s="1013" t="s">
        <v>224</v>
      </c>
      <c r="M3" s="1023" t="s">
        <v>229</v>
      </c>
      <c r="N3" s="36"/>
      <c r="O3" s="36"/>
      <c r="P3" s="36"/>
      <c r="Q3" s="1013" t="s">
        <v>224</v>
      </c>
      <c r="R3" s="1015" t="s">
        <v>229</v>
      </c>
      <c r="S3" s="36"/>
      <c r="T3" s="36"/>
      <c r="U3" s="37"/>
      <c r="V3" s="1013" t="s">
        <v>224</v>
      </c>
      <c r="W3" s="1015" t="s">
        <v>229</v>
      </c>
      <c r="X3" s="1017" t="s">
        <v>699</v>
      </c>
      <c r="Y3" s="1019" t="s">
        <v>135</v>
      </c>
      <c r="AA3" s="905" t="s">
        <v>888</v>
      </c>
      <c r="AB3" s="906"/>
      <c r="AC3" s="906"/>
      <c r="AD3" s="906"/>
      <c r="AE3" s="906"/>
      <c r="AF3" s="906"/>
      <c r="AG3" s="906"/>
      <c r="AH3" s="906"/>
      <c r="AI3" s="906"/>
      <c r="AJ3" s="906"/>
      <c r="AK3" s="906"/>
      <c r="AL3" s="906"/>
    </row>
    <row r="4" spans="1:38" ht="21.75" customHeight="1" thickBot="1" x14ac:dyDescent="0.3">
      <c r="A4" s="632" t="s">
        <v>55</v>
      </c>
      <c r="B4" s="26" t="s">
        <v>420</v>
      </c>
      <c r="C4" s="1020"/>
      <c r="D4" s="38">
        <v>45108</v>
      </c>
      <c r="E4" s="38">
        <v>45139</v>
      </c>
      <c r="F4" s="38">
        <v>45170</v>
      </c>
      <c r="G4" s="1014"/>
      <c r="H4" s="1024"/>
      <c r="I4" s="39">
        <v>45200</v>
      </c>
      <c r="J4" s="39">
        <v>45231</v>
      </c>
      <c r="K4" s="39">
        <v>45261</v>
      </c>
      <c r="L4" s="1014"/>
      <c r="M4" s="1024"/>
      <c r="N4" s="39">
        <v>45292</v>
      </c>
      <c r="O4" s="39">
        <v>45323</v>
      </c>
      <c r="P4" s="39">
        <v>45352</v>
      </c>
      <c r="Q4" s="1014"/>
      <c r="R4" s="1016"/>
      <c r="S4" s="39">
        <v>45383</v>
      </c>
      <c r="T4" s="39">
        <v>45413</v>
      </c>
      <c r="U4" s="39">
        <v>45444</v>
      </c>
      <c r="V4" s="1014"/>
      <c r="W4" s="1016"/>
      <c r="X4" s="1018"/>
      <c r="Y4" s="1020"/>
    </row>
    <row r="5" spans="1:38" ht="15" customHeight="1" thickBot="1" x14ac:dyDescent="0.3">
      <c r="A5" s="29" t="s">
        <v>239</v>
      </c>
      <c r="B5" s="27">
        <v>863</v>
      </c>
      <c r="C5" s="27">
        <v>829</v>
      </c>
      <c r="D5" s="874">
        <v>752</v>
      </c>
      <c r="E5" s="874">
        <v>766</v>
      </c>
      <c r="F5" s="874">
        <v>785</v>
      </c>
      <c r="G5" s="40">
        <f t="shared" ref="G5:G12" si="0">SUM(D5:F5)/3</f>
        <v>767.66666666666663</v>
      </c>
      <c r="H5" s="64">
        <f>G5*92</f>
        <v>70625.333333333328</v>
      </c>
      <c r="I5" s="875">
        <v>760</v>
      </c>
      <c r="J5" s="875">
        <v>768</v>
      </c>
      <c r="K5" s="875">
        <v>787</v>
      </c>
      <c r="L5" s="40">
        <f>SUM(I5:K5)/3</f>
        <v>771.66666666666663</v>
      </c>
      <c r="M5" s="64">
        <f>L5*92</f>
        <v>70993.333333333328</v>
      </c>
      <c r="N5" s="876">
        <v>806</v>
      </c>
      <c r="O5" s="876">
        <v>808</v>
      </c>
      <c r="P5" s="876">
        <v>790</v>
      </c>
      <c r="Q5" s="40">
        <f>SUM(N5:P5)/3</f>
        <v>801.33333333333337</v>
      </c>
      <c r="R5" s="64">
        <f>Q5*91</f>
        <v>72921.333333333343</v>
      </c>
      <c r="S5" s="876">
        <v>793</v>
      </c>
      <c r="T5" s="876">
        <v>795</v>
      </c>
      <c r="U5" s="877">
        <v>802</v>
      </c>
      <c r="V5" s="40">
        <f>SUM(S5:U5)/3</f>
        <v>796.66666666666663</v>
      </c>
      <c r="W5" s="65">
        <f>V5*91</f>
        <v>72496.666666666657</v>
      </c>
      <c r="X5" s="41">
        <f>SUM(D5+E5+F5+I5+J5+K5+N5+O5+P5+S5+T5+U5)/12</f>
        <v>784.33333333333337</v>
      </c>
      <c r="Y5" s="42">
        <f>X5*366</f>
        <v>287066</v>
      </c>
    </row>
    <row r="6" spans="1:38" ht="15" customHeight="1" thickBot="1" x14ac:dyDescent="0.3">
      <c r="A6" s="30" t="s">
        <v>120</v>
      </c>
      <c r="B6" s="27">
        <v>128</v>
      </c>
      <c r="C6" s="27">
        <v>126</v>
      </c>
      <c r="D6" s="878">
        <v>110</v>
      </c>
      <c r="E6" s="878">
        <v>109</v>
      </c>
      <c r="F6" s="878">
        <v>100</v>
      </c>
      <c r="G6" s="40">
        <f t="shared" si="0"/>
        <v>106.33333333333333</v>
      </c>
      <c r="H6" s="64">
        <f>G6*92</f>
        <v>9782.6666666666661</v>
      </c>
      <c r="I6" s="879">
        <v>105</v>
      </c>
      <c r="J6" s="879">
        <v>108</v>
      </c>
      <c r="K6" s="879">
        <v>105</v>
      </c>
      <c r="L6" s="40">
        <f>SUM(I6:K6)/3</f>
        <v>106</v>
      </c>
      <c r="M6" s="64">
        <f>L6*92</f>
        <v>9752</v>
      </c>
      <c r="N6" s="880">
        <v>105</v>
      </c>
      <c r="O6" s="880">
        <v>111</v>
      </c>
      <c r="P6" s="880">
        <v>105</v>
      </c>
      <c r="Q6" s="40">
        <f>SUM(N6:P6)/3</f>
        <v>107</v>
      </c>
      <c r="R6" s="64">
        <f t="shared" ref="R6:R18" si="1">Q6*91</f>
        <v>9737</v>
      </c>
      <c r="S6" s="880">
        <v>104</v>
      </c>
      <c r="T6" s="880">
        <v>113</v>
      </c>
      <c r="U6" s="881">
        <v>109</v>
      </c>
      <c r="V6" s="40">
        <f>SUM(S6:U6)/3</f>
        <v>108.66666666666667</v>
      </c>
      <c r="W6" s="65">
        <f>V6*91</f>
        <v>9888.6666666666679</v>
      </c>
      <c r="X6" s="41">
        <f>SUM(D6+E6+F6+I6+J6+K6+N6+O6+P6+S6+T6+U6)/12</f>
        <v>107</v>
      </c>
      <c r="Y6" s="42">
        <f>X6*366</f>
        <v>39162</v>
      </c>
    </row>
    <row r="7" spans="1:38" ht="15" customHeight="1" thickBot="1" x14ac:dyDescent="0.3">
      <c r="A7" s="31" t="s">
        <v>262</v>
      </c>
      <c r="B7" s="27">
        <v>259</v>
      </c>
      <c r="C7" s="27">
        <v>248</v>
      </c>
      <c r="D7" s="882">
        <v>226</v>
      </c>
      <c r="E7" s="882">
        <v>225</v>
      </c>
      <c r="F7" s="882">
        <v>211</v>
      </c>
      <c r="G7" s="40">
        <f t="shared" si="0"/>
        <v>220.66666666666666</v>
      </c>
      <c r="H7" s="64">
        <f>G7*92</f>
        <v>20301.333333333332</v>
      </c>
      <c r="I7" s="883">
        <v>215</v>
      </c>
      <c r="J7" s="883">
        <v>210</v>
      </c>
      <c r="K7" s="883">
        <v>218</v>
      </c>
      <c r="L7" s="40">
        <f>SUM(I7:K7)/3</f>
        <v>214.33333333333334</v>
      </c>
      <c r="M7" s="64">
        <f>L7*92</f>
        <v>19718.666666666668</v>
      </c>
      <c r="N7" s="5">
        <v>232</v>
      </c>
      <c r="O7" s="5">
        <v>224</v>
      </c>
      <c r="P7" s="5">
        <v>219</v>
      </c>
      <c r="Q7" s="40">
        <f>SUM(N7:P7)/3</f>
        <v>225</v>
      </c>
      <c r="R7" s="64">
        <f t="shared" si="1"/>
        <v>20475</v>
      </c>
      <c r="S7" s="5">
        <v>236</v>
      </c>
      <c r="T7" s="5">
        <v>242</v>
      </c>
      <c r="U7" s="884">
        <v>236</v>
      </c>
      <c r="V7" s="40">
        <f>SUM(S7:U7)/3</f>
        <v>238</v>
      </c>
      <c r="W7" s="65">
        <f>V7*91</f>
        <v>21658</v>
      </c>
      <c r="X7" s="41">
        <f>SUM(D7+E7+F7+I7+J7+K7+N7+O7+P7+S7+T7+U7)/12</f>
        <v>224.5</v>
      </c>
      <c r="Y7" s="42">
        <f t="shared" ref="Y7:Y17" si="2">X7*366</f>
        <v>82167</v>
      </c>
    </row>
    <row r="8" spans="1:38" ht="15" customHeight="1" thickBot="1" x14ac:dyDescent="0.3">
      <c r="A8" s="31" t="s">
        <v>342</v>
      </c>
      <c r="B8" s="27">
        <v>1472</v>
      </c>
      <c r="C8" s="27">
        <v>1408</v>
      </c>
      <c r="D8" s="882">
        <v>1319</v>
      </c>
      <c r="E8" s="882">
        <v>1298</v>
      </c>
      <c r="F8" s="882">
        <v>1272</v>
      </c>
      <c r="G8" s="40">
        <f t="shared" si="0"/>
        <v>1296.3333333333333</v>
      </c>
      <c r="H8" s="64">
        <f>G8*92</f>
        <v>119262.66666666666</v>
      </c>
      <c r="I8" s="883">
        <v>1292</v>
      </c>
      <c r="J8" s="883">
        <v>1273</v>
      </c>
      <c r="K8" s="883">
        <v>1213</v>
      </c>
      <c r="L8" s="40">
        <f>SUM(I8:K8)/3</f>
        <v>1259.3333333333333</v>
      </c>
      <c r="M8" s="64">
        <f>L8*92</f>
        <v>115858.66666666666</v>
      </c>
      <c r="N8" s="5">
        <v>1211</v>
      </c>
      <c r="O8" s="5">
        <v>1187</v>
      </c>
      <c r="P8" s="5">
        <v>1198</v>
      </c>
      <c r="Q8" s="40">
        <f>SUM(N8:P8)/3</f>
        <v>1198.6666666666667</v>
      </c>
      <c r="R8" s="64">
        <f t="shared" si="1"/>
        <v>109078.66666666667</v>
      </c>
      <c r="S8" s="5">
        <v>1186</v>
      </c>
      <c r="T8" s="5">
        <v>1168</v>
      </c>
      <c r="U8" s="884">
        <v>1197</v>
      </c>
      <c r="V8" s="40">
        <f>SUM(S8:U8)/3</f>
        <v>1183.6666666666667</v>
      </c>
      <c r="W8" s="65">
        <f>V8*91</f>
        <v>107713.66666666667</v>
      </c>
      <c r="X8" s="41">
        <f>SUM(D8+E8+F8+I8+J8+K8+N8+O8+P8+S8+T8+U8)/12</f>
        <v>1234.5</v>
      </c>
      <c r="Y8" s="42">
        <f t="shared" si="2"/>
        <v>451827</v>
      </c>
    </row>
    <row r="9" spans="1:38" ht="15" customHeight="1" thickBot="1" x14ac:dyDescent="0.3">
      <c r="A9" s="32" t="s">
        <v>227</v>
      </c>
      <c r="B9" s="27">
        <v>404</v>
      </c>
      <c r="C9" s="27">
        <v>395</v>
      </c>
      <c r="D9" s="882">
        <v>342</v>
      </c>
      <c r="E9" s="882">
        <v>343</v>
      </c>
      <c r="F9" s="882">
        <v>355</v>
      </c>
      <c r="G9" s="40">
        <f t="shared" si="0"/>
        <v>346.66666666666669</v>
      </c>
      <c r="H9" s="64">
        <f t="shared" ref="H9:H18" si="3">G9*92</f>
        <v>31893.333333333336</v>
      </c>
      <c r="I9" s="883">
        <v>348</v>
      </c>
      <c r="J9" s="883">
        <v>340</v>
      </c>
      <c r="K9" s="883">
        <v>350</v>
      </c>
      <c r="L9" s="40">
        <f t="shared" ref="L9:L19" si="4">SUM(I9:K9)/3</f>
        <v>346</v>
      </c>
      <c r="M9" s="64">
        <f t="shared" ref="M9:M19" si="5">L9*92</f>
        <v>31832</v>
      </c>
      <c r="N9" s="5">
        <v>353</v>
      </c>
      <c r="O9" s="5">
        <v>341</v>
      </c>
      <c r="P9" s="5">
        <v>335</v>
      </c>
      <c r="Q9" s="40">
        <f t="shared" ref="Q9:Q19" si="6">SUM(N9:P9)/3</f>
        <v>343</v>
      </c>
      <c r="R9" s="64">
        <f t="shared" si="1"/>
        <v>31213</v>
      </c>
      <c r="S9" s="5">
        <v>346</v>
      </c>
      <c r="T9" s="5">
        <v>342</v>
      </c>
      <c r="U9" s="884">
        <v>355</v>
      </c>
      <c r="V9" s="40">
        <f t="shared" ref="V9:V19" si="7">SUM(S9:U9)/3</f>
        <v>347.66666666666669</v>
      </c>
      <c r="W9" s="65">
        <f t="shared" ref="W9:W19" si="8">V9*91</f>
        <v>31637.666666666668</v>
      </c>
      <c r="X9" s="41">
        <f t="shared" ref="X9:X17" si="9">SUM(D9+E9+F9+I9+J9+K9+N9+O9+P9+S9+T9+U9)/12</f>
        <v>345.83333333333331</v>
      </c>
      <c r="Y9" s="42">
        <f t="shared" si="2"/>
        <v>126575</v>
      </c>
    </row>
    <row r="10" spans="1:38" ht="15" customHeight="1" thickBot="1" x14ac:dyDescent="0.3">
      <c r="A10" s="31" t="s">
        <v>15</v>
      </c>
      <c r="B10" s="27">
        <v>58</v>
      </c>
      <c r="C10" s="27">
        <v>52</v>
      </c>
      <c r="D10" s="882">
        <v>52</v>
      </c>
      <c r="E10" s="882">
        <v>50</v>
      </c>
      <c r="F10" s="882">
        <v>52</v>
      </c>
      <c r="G10" s="40">
        <f t="shared" si="0"/>
        <v>51.333333333333336</v>
      </c>
      <c r="H10" s="64">
        <f t="shared" si="3"/>
        <v>4722.666666666667</v>
      </c>
      <c r="I10" s="883">
        <v>48</v>
      </c>
      <c r="J10" s="883">
        <v>49</v>
      </c>
      <c r="K10" s="883">
        <v>48</v>
      </c>
      <c r="L10" s="40">
        <f t="shared" si="4"/>
        <v>48.333333333333336</v>
      </c>
      <c r="M10" s="64">
        <f t="shared" si="5"/>
        <v>4446.666666666667</v>
      </c>
      <c r="N10" s="5">
        <v>52</v>
      </c>
      <c r="O10" s="5">
        <v>51</v>
      </c>
      <c r="P10" s="5">
        <v>52</v>
      </c>
      <c r="Q10" s="40">
        <f t="shared" si="6"/>
        <v>51.666666666666664</v>
      </c>
      <c r="R10" s="64">
        <f t="shared" si="1"/>
        <v>4701.6666666666661</v>
      </c>
      <c r="S10" s="5">
        <v>53</v>
      </c>
      <c r="T10" s="5">
        <v>57</v>
      </c>
      <c r="U10" s="884">
        <v>48</v>
      </c>
      <c r="V10" s="40">
        <f t="shared" si="7"/>
        <v>52.666666666666664</v>
      </c>
      <c r="W10" s="65">
        <f t="shared" si="8"/>
        <v>4792.6666666666661</v>
      </c>
      <c r="X10" s="41">
        <f t="shared" si="9"/>
        <v>51</v>
      </c>
      <c r="Y10" s="42">
        <f t="shared" si="2"/>
        <v>18666</v>
      </c>
    </row>
    <row r="11" spans="1:38" ht="15" customHeight="1" thickBot="1" x14ac:dyDescent="0.3">
      <c r="A11" s="31" t="s">
        <v>16</v>
      </c>
      <c r="B11" s="27">
        <v>130</v>
      </c>
      <c r="C11" s="27">
        <v>124</v>
      </c>
      <c r="D11" s="882">
        <v>102</v>
      </c>
      <c r="E11" s="882">
        <v>99</v>
      </c>
      <c r="F11" s="882">
        <v>100</v>
      </c>
      <c r="G11" s="40">
        <f t="shared" si="0"/>
        <v>100.33333333333333</v>
      </c>
      <c r="H11" s="64">
        <f t="shared" si="3"/>
        <v>9230.6666666666661</v>
      </c>
      <c r="I11" s="883">
        <v>100</v>
      </c>
      <c r="J11" s="883">
        <v>108</v>
      </c>
      <c r="K11" s="883">
        <v>109</v>
      </c>
      <c r="L11" s="40">
        <f t="shared" si="4"/>
        <v>105.66666666666667</v>
      </c>
      <c r="M11" s="64">
        <f t="shared" si="5"/>
        <v>9721.3333333333339</v>
      </c>
      <c r="N11" s="5">
        <v>107</v>
      </c>
      <c r="O11" s="5">
        <v>103</v>
      </c>
      <c r="P11" s="5">
        <v>108</v>
      </c>
      <c r="Q11" s="40">
        <f t="shared" si="6"/>
        <v>106</v>
      </c>
      <c r="R11" s="64">
        <f t="shared" si="1"/>
        <v>9646</v>
      </c>
      <c r="S11" s="5">
        <v>112</v>
      </c>
      <c r="T11" s="5">
        <v>111</v>
      </c>
      <c r="U11" s="884">
        <v>104</v>
      </c>
      <c r="V11" s="40">
        <f t="shared" si="7"/>
        <v>109</v>
      </c>
      <c r="W11" s="65">
        <f t="shared" si="8"/>
        <v>9919</v>
      </c>
      <c r="X11" s="41">
        <f t="shared" si="9"/>
        <v>105.25</v>
      </c>
      <c r="Y11" s="42">
        <f t="shared" si="2"/>
        <v>38521.5</v>
      </c>
    </row>
    <row r="12" spans="1:38" ht="15" customHeight="1" thickBot="1" x14ac:dyDescent="0.3">
      <c r="A12" s="31" t="s">
        <v>121</v>
      </c>
      <c r="B12" s="27">
        <v>102</v>
      </c>
      <c r="C12" s="27">
        <v>98</v>
      </c>
      <c r="D12" s="882">
        <v>86</v>
      </c>
      <c r="E12" s="882">
        <v>75</v>
      </c>
      <c r="F12" s="882">
        <v>83</v>
      </c>
      <c r="G12" s="40">
        <f t="shared" si="0"/>
        <v>81.333333333333329</v>
      </c>
      <c r="H12" s="64">
        <f t="shared" si="3"/>
        <v>7482.6666666666661</v>
      </c>
      <c r="I12" s="883">
        <v>89</v>
      </c>
      <c r="J12" s="883">
        <v>76</v>
      </c>
      <c r="K12" s="883">
        <v>82</v>
      </c>
      <c r="L12" s="40">
        <f t="shared" si="4"/>
        <v>82.333333333333329</v>
      </c>
      <c r="M12" s="64">
        <f t="shared" si="5"/>
        <v>7574.6666666666661</v>
      </c>
      <c r="N12" s="5">
        <v>84</v>
      </c>
      <c r="O12" s="5">
        <v>86</v>
      </c>
      <c r="P12" s="5">
        <v>86</v>
      </c>
      <c r="Q12" s="40">
        <f t="shared" si="6"/>
        <v>85.333333333333329</v>
      </c>
      <c r="R12" s="64">
        <f t="shared" si="1"/>
        <v>7765.333333333333</v>
      </c>
      <c r="S12" s="5">
        <v>82</v>
      </c>
      <c r="T12" s="5">
        <v>85</v>
      </c>
      <c r="U12" s="884">
        <v>74</v>
      </c>
      <c r="V12" s="40">
        <f t="shared" si="7"/>
        <v>80.333333333333329</v>
      </c>
      <c r="W12" s="65">
        <f t="shared" si="8"/>
        <v>7310.333333333333</v>
      </c>
      <c r="X12" s="41">
        <f t="shared" si="9"/>
        <v>82.333333333333329</v>
      </c>
      <c r="Y12" s="42">
        <f t="shared" si="2"/>
        <v>30134</v>
      </c>
    </row>
    <row r="13" spans="1:38" ht="15" customHeight="1" thickBot="1" x14ac:dyDescent="0.3">
      <c r="A13" s="32" t="s">
        <v>228</v>
      </c>
      <c r="B13" s="27">
        <f>338+176</f>
        <v>514</v>
      </c>
      <c r="C13" s="27">
        <f>328+176</f>
        <v>504</v>
      </c>
      <c r="D13" s="882">
        <v>469</v>
      </c>
      <c r="E13" s="882">
        <v>482</v>
      </c>
      <c r="F13" s="882">
        <v>489</v>
      </c>
      <c r="G13" s="40">
        <f t="shared" ref="G13:G14" si="10">SUM(D13:F13)/3</f>
        <v>480</v>
      </c>
      <c r="H13" s="64">
        <f t="shared" si="3"/>
        <v>44160</v>
      </c>
      <c r="I13" s="883">
        <v>487</v>
      </c>
      <c r="J13" s="883">
        <v>491</v>
      </c>
      <c r="K13" s="883">
        <v>485</v>
      </c>
      <c r="L13" s="40">
        <f t="shared" si="4"/>
        <v>487.66666666666669</v>
      </c>
      <c r="M13" s="64">
        <f t="shared" si="5"/>
        <v>44865.333333333336</v>
      </c>
      <c r="N13" s="5">
        <v>484</v>
      </c>
      <c r="O13" s="5">
        <v>497</v>
      </c>
      <c r="P13" s="5">
        <v>496</v>
      </c>
      <c r="Q13" s="40">
        <f t="shared" si="6"/>
        <v>492.33333333333331</v>
      </c>
      <c r="R13" s="64">
        <f t="shared" si="1"/>
        <v>44802.333333333328</v>
      </c>
      <c r="S13" s="5">
        <v>496</v>
      </c>
      <c r="T13" s="5">
        <v>493</v>
      </c>
      <c r="U13" s="884">
        <v>487</v>
      </c>
      <c r="V13" s="40">
        <f t="shared" si="7"/>
        <v>492</v>
      </c>
      <c r="W13" s="65">
        <f t="shared" si="8"/>
        <v>44772</v>
      </c>
      <c r="X13" s="41">
        <f t="shared" si="9"/>
        <v>488</v>
      </c>
      <c r="Y13" s="42">
        <f t="shared" si="2"/>
        <v>178608</v>
      </c>
    </row>
    <row r="14" spans="1:38" ht="15" customHeight="1" thickBot="1" x14ac:dyDescent="0.3">
      <c r="A14" s="31" t="s">
        <v>129</v>
      </c>
      <c r="B14" s="27">
        <v>128</v>
      </c>
      <c r="C14" s="27">
        <v>128</v>
      </c>
      <c r="D14" s="882">
        <v>59</v>
      </c>
      <c r="E14" s="882">
        <v>58</v>
      </c>
      <c r="F14" s="882">
        <v>55</v>
      </c>
      <c r="G14" s="40">
        <f t="shared" si="10"/>
        <v>57.333333333333336</v>
      </c>
      <c r="H14" s="64">
        <f t="shared" si="3"/>
        <v>5274.666666666667</v>
      </c>
      <c r="I14" s="883">
        <v>64</v>
      </c>
      <c r="J14" s="883">
        <v>66</v>
      </c>
      <c r="K14" s="883">
        <v>71</v>
      </c>
      <c r="L14" s="40">
        <f t="shared" si="4"/>
        <v>67</v>
      </c>
      <c r="M14" s="64">
        <f t="shared" si="5"/>
        <v>6164</v>
      </c>
      <c r="N14" s="5">
        <v>70</v>
      </c>
      <c r="O14" s="5">
        <v>63</v>
      </c>
      <c r="P14" s="5">
        <v>69</v>
      </c>
      <c r="Q14" s="40">
        <f t="shared" si="6"/>
        <v>67.333333333333329</v>
      </c>
      <c r="R14" s="64">
        <f t="shared" si="1"/>
        <v>6127.333333333333</v>
      </c>
      <c r="S14" s="5">
        <v>69</v>
      </c>
      <c r="T14" s="5">
        <v>68</v>
      </c>
      <c r="U14" s="5">
        <v>63</v>
      </c>
      <c r="V14" s="40">
        <f t="shared" si="7"/>
        <v>66.666666666666671</v>
      </c>
      <c r="W14" s="65">
        <f t="shared" si="8"/>
        <v>6066.666666666667</v>
      </c>
      <c r="X14" s="41">
        <f t="shared" si="9"/>
        <v>64.583333333333329</v>
      </c>
      <c r="Y14" s="42">
        <f t="shared" si="2"/>
        <v>23637.5</v>
      </c>
    </row>
    <row r="15" spans="1:38" ht="15" customHeight="1" thickBot="1" x14ac:dyDescent="0.3">
      <c r="A15" s="30" t="s">
        <v>19</v>
      </c>
      <c r="B15" s="27">
        <v>551</v>
      </c>
      <c r="C15" s="27">
        <v>535</v>
      </c>
      <c r="D15" s="878">
        <v>403</v>
      </c>
      <c r="E15" s="878">
        <v>407</v>
      </c>
      <c r="F15" s="878">
        <v>408</v>
      </c>
      <c r="G15" s="40">
        <f>SUM(D15:F15)/3</f>
        <v>406</v>
      </c>
      <c r="H15" s="64">
        <f t="shared" si="3"/>
        <v>37352</v>
      </c>
      <c r="I15" s="879">
        <v>416</v>
      </c>
      <c r="J15" s="883">
        <v>414</v>
      </c>
      <c r="K15" s="879">
        <v>413</v>
      </c>
      <c r="L15" s="40">
        <f t="shared" si="4"/>
        <v>414.33333333333331</v>
      </c>
      <c r="M15" s="65">
        <f t="shared" si="5"/>
        <v>38118.666666666664</v>
      </c>
      <c r="N15" s="5">
        <v>396</v>
      </c>
      <c r="O15" s="880">
        <v>374</v>
      </c>
      <c r="P15" s="5">
        <v>373</v>
      </c>
      <c r="Q15" s="40">
        <f t="shared" si="6"/>
        <v>381</v>
      </c>
      <c r="R15" s="64">
        <f t="shared" si="1"/>
        <v>34671</v>
      </c>
      <c r="S15" s="5">
        <v>373</v>
      </c>
      <c r="T15" s="880">
        <v>370</v>
      </c>
      <c r="U15" s="881">
        <v>372</v>
      </c>
      <c r="V15" s="40">
        <f t="shared" si="7"/>
        <v>371.66666666666669</v>
      </c>
      <c r="W15" s="65">
        <f t="shared" si="8"/>
        <v>33821.666666666672</v>
      </c>
      <c r="X15" s="41">
        <f t="shared" si="9"/>
        <v>393.25</v>
      </c>
      <c r="Y15" s="42">
        <f t="shared" si="2"/>
        <v>143929.5</v>
      </c>
    </row>
    <row r="16" spans="1:38" ht="15" customHeight="1" thickBot="1" x14ac:dyDescent="0.3">
      <c r="A16" s="32" t="s">
        <v>340</v>
      </c>
      <c r="B16" s="27">
        <f>360+116</f>
        <v>476</v>
      </c>
      <c r="C16" s="27">
        <f>354+111</f>
        <v>465</v>
      </c>
      <c r="D16" s="882">
        <v>433</v>
      </c>
      <c r="E16" s="882">
        <v>438</v>
      </c>
      <c r="F16" s="882">
        <v>449</v>
      </c>
      <c r="G16" s="40">
        <f>SUM(D16:F16)/3</f>
        <v>440</v>
      </c>
      <c r="H16" s="64">
        <f t="shared" si="3"/>
        <v>40480</v>
      </c>
      <c r="I16" s="883">
        <v>438</v>
      </c>
      <c r="J16" s="883">
        <v>425</v>
      </c>
      <c r="K16" s="883">
        <v>425</v>
      </c>
      <c r="L16" s="40">
        <f t="shared" si="4"/>
        <v>429.33333333333331</v>
      </c>
      <c r="M16" s="64">
        <f t="shared" si="5"/>
        <v>39498.666666666664</v>
      </c>
      <c r="N16" s="5">
        <v>411</v>
      </c>
      <c r="O16" s="5">
        <v>439</v>
      </c>
      <c r="P16" s="5">
        <v>440</v>
      </c>
      <c r="Q16" s="40">
        <f t="shared" si="6"/>
        <v>430</v>
      </c>
      <c r="R16" s="64">
        <f t="shared" si="1"/>
        <v>39130</v>
      </c>
      <c r="S16" s="5">
        <v>429</v>
      </c>
      <c r="T16" s="5">
        <v>421</v>
      </c>
      <c r="U16" s="884">
        <v>425</v>
      </c>
      <c r="V16" s="40">
        <f t="shared" si="7"/>
        <v>425</v>
      </c>
      <c r="W16" s="65">
        <f t="shared" si="8"/>
        <v>38675</v>
      </c>
      <c r="X16" s="41">
        <f t="shared" si="9"/>
        <v>431.08333333333331</v>
      </c>
      <c r="Y16" s="42">
        <f t="shared" si="2"/>
        <v>157776.5</v>
      </c>
    </row>
    <row r="17" spans="1:25" ht="15" customHeight="1" thickBot="1" x14ac:dyDescent="0.3">
      <c r="A17" s="31" t="s">
        <v>122</v>
      </c>
      <c r="B17" s="27">
        <v>200</v>
      </c>
      <c r="C17" s="27">
        <v>189</v>
      </c>
      <c r="D17" s="882">
        <v>138</v>
      </c>
      <c r="E17" s="882">
        <v>146</v>
      </c>
      <c r="F17" s="882">
        <v>153</v>
      </c>
      <c r="G17" s="40">
        <f>SUM(D17:F17)/3</f>
        <v>145.66666666666666</v>
      </c>
      <c r="H17" s="64">
        <f t="shared" si="3"/>
        <v>13401.333333333332</v>
      </c>
      <c r="I17" s="883">
        <v>133</v>
      </c>
      <c r="J17" s="883">
        <v>130</v>
      </c>
      <c r="K17" s="883">
        <v>130</v>
      </c>
      <c r="L17" s="40">
        <f t="shared" si="4"/>
        <v>131</v>
      </c>
      <c r="M17" s="64">
        <f t="shared" si="5"/>
        <v>12052</v>
      </c>
      <c r="N17" s="5">
        <v>124</v>
      </c>
      <c r="O17" s="5">
        <v>124</v>
      </c>
      <c r="P17" s="5">
        <v>137</v>
      </c>
      <c r="Q17" s="40">
        <f t="shared" si="6"/>
        <v>128.33333333333334</v>
      </c>
      <c r="R17" s="64">
        <f t="shared" si="1"/>
        <v>11678.333333333334</v>
      </c>
      <c r="S17" s="5">
        <v>130</v>
      </c>
      <c r="T17" s="5">
        <v>138</v>
      </c>
      <c r="U17" s="884">
        <v>136</v>
      </c>
      <c r="V17" s="40">
        <f t="shared" si="7"/>
        <v>134.66666666666666</v>
      </c>
      <c r="W17" s="65">
        <f t="shared" si="8"/>
        <v>12254.666666666666</v>
      </c>
      <c r="X17" s="41">
        <f t="shared" si="9"/>
        <v>134.91666666666666</v>
      </c>
      <c r="Y17" s="42">
        <f t="shared" si="2"/>
        <v>49379.5</v>
      </c>
    </row>
    <row r="18" spans="1:25" ht="15" customHeight="1" thickBot="1" x14ac:dyDescent="0.3">
      <c r="A18" s="31" t="s">
        <v>123</v>
      </c>
      <c r="B18" s="21"/>
      <c r="C18" s="21"/>
      <c r="D18" s="4">
        <v>0</v>
      </c>
      <c r="E18" s="4">
        <v>0</v>
      </c>
      <c r="F18" s="4">
        <v>0</v>
      </c>
      <c r="G18" s="43">
        <f>SUM(D18:F18)/3</f>
        <v>0</v>
      </c>
      <c r="H18" s="64">
        <f t="shared" si="3"/>
        <v>0</v>
      </c>
      <c r="I18" s="4"/>
      <c r="J18" s="4"/>
      <c r="K18" s="4"/>
      <c r="L18" s="43">
        <f t="shared" si="4"/>
        <v>0</v>
      </c>
      <c r="M18" s="64">
        <f t="shared" si="5"/>
        <v>0</v>
      </c>
      <c r="N18" s="4"/>
      <c r="O18" s="4"/>
      <c r="P18" s="4"/>
      <c r="Q18" s="43">
        <f t="shared" si="6"/>
        <v>0</v>
      </c>
      <c r="R18" s="64">
        <f t="shared" si="1"/>
        <v>0</v>
      </c>
      <c r="S18" s="3" t="s">
        <v>96</v>
      </c>
      <c r="T18" s="3" t="s">
        <v>96</v>
      </c>
      <c r="U18" s="4" t="s">
        <v>96</v>
      </c>
      <c r="V18" s="43">
        <f t="shared" si="7"/>
        <v>0</v>
      </c>
      <c r="W18" s="66">
        <f t="shared" si="8"/>
        <v>0</v>
      </c>
      <c r="X18" s="41">
        <v>0</v>
      </c>
      <c r="Y18" s="42">
        <f>X18*366</f>
        <v>0</v>
      </c>
    </row>
    <row r="19" spans="1:25" ht="15" customHeight="1" thickBot="1" x14ac:dyDescent="0.3">
      <c r="A19" s="442" t="s">
        <v>130</v>
      </c>
      <c r="B19" s="443"/>
      <c r="C19" s="443"/>
      <c r="D19" s="444">
        <f>SUM(D5:D18)</f>
        <v>4491</v>
      </c>
      <c r="E19" s="444">
        <f>SUM(E5:E18)</f>
        <v>4496</v>
      </c>
      <c r="F19" s="444">
        <f>SUM(F5:F18)</f>
        <v>4512</v>
      </c>
      <c r="G19" s="445">
        <f>SUM(D19:F19)/3</f>
        <v>4499.666666666667</v>
      </c>
      <c r="H19" s="446">
        <f>G19*92</f>
        <v>413969.33333333337</v>
      </c>
      <c r="I19" s="447">
        <f>SUM(I5:I18)</f>
        <v>4495</v>
      </c>
      <c r="J19" s="444">
        <f>SUM(J5:J18)</f>
        <v>4458</v>
      </c>
      <c r="K19" s="444">
        <f>SUM(K5:K18)</f>
        <v>4436</v>
      </c>
      <c r="L19" s="445">
        <f t="shared" si="4"/>
        <v>4463</v>
      </c>
      <c r="M19" s="448">
        <f t="shared" si="5"/>
        <v>410596</v>
      </c>
      <c r="N19" s="449">
        <f>SUM(N5:N18)</f>
        <v>4435</v>
      </c>
      <c r="O19" s="444">
        <f>SUM(O5:O18)</f>
        <v>4408</v>
      </c>
      <c r="P19" s="444">
        <f>SUM(P5:P18)</f>
        <v>4408</v>
      </c>
      <c r="Q19" s="445">
        <f t="shared" si="6"/>
        <v>4417</v>
      </c>
      <c r="R19" s="446">
        <f>Q19*91</f>
        <v>401947</v>
      </c>
      <c r="S19" s="447">
        <f>SUM(S5:S18)</f>
        <v>4409</v>
      </c>
      <c r="T19" s="444">
        <f>SUM(T5:T17)</f>
        <v>4403</v>
      </c>
      <c r="U19" s="450">
        <f>SUM(U5:U18)</f>
        <v>4408</v>
      </c>
      <c r="V19" s="445">
        <f t="shared" si="7"/>
        <v>4406.666666666667</v>
      </c>
      <c r="W19" s="451">
        <f t="shared" si="8"/>
        <v>401006.66666666669</v>
      </c>
      <c r="X19" s="452">
        <f>SUM(D19+E19+F19+I19+J19+K19+N19+O19+P19+S19+T19+U19)/12</f>
        <v>4446.583333333333</v>
      </c>
      <c r="Y19" s="444">
        <f>X19*366</f>
        <v>1627449.5</v>
      </c>
    </row>
    <row r="20" spans="1:25" ht="15" customHeight="1" thickBot="1" x14ac:dyDescent="0.3">
      <c r="A20" s="28" t="s">
        <v>131</v>
      </c>
      <c r="B20" s="22"/>
      <c r="C20" s="22"/>
      <c r="D20" s="637"/>
      <c r="E20" s="637"/>
      <c r="F20" s="638"/>
      <c r="G20" s="62"/>
      <c r="H20" s="62"/>
      <c r="I20" s="48"/>
      <c r="J20" s="46"/>
      <c r="K20" s="47"/>
      <c r="L20" s="61"/>
      <c r="M20" s="61"/>
      <c r="N20" s="48"/>
      <c r="O20" s="46"/>
      <c r="P20" s="47"/>
      <c r="Q20" s="61"/>
      <c r="R20" s="64">
        <f>Q20*91</f>
        <v>0</v>
      </c>
      <c r="S20" s="48"/>
      <c r="T20" s="46"/>
      <c r="U20" s="47"/>
      <c r="V20" s="47"/>
      <c r="W20" s="46"/>
      <c r="X20" s="60"/>
      <c r="Y20" s="42">
        <f>X20*366</f>
        <v>0</v>
      </c>
    </row>
    <row r="21" spans="1:25" ht="15" customHeight="1" thickBot="1" x14ac:dyDescent="0.3">
      <c r="A21" s="936" t="s">
        <v>889</v>
      </c>
      <c r="B21" s="684">
        <v>510</v>
      </c>
      <c r="C21" s="685" t="s">
        <v>96</v>
      </c>
      <c r="D21" s="686">
        <v>373</v>
      </c>
      <c r="E21" s="686">
        <v>381</v>
      </c>
      <c r="F21" s="686">
        <v>384</v>
      </c>
      <c r="G21" s="687">
        <f t="shared" ref="G21:G24" si="11">SUM(D21:F21)/3</f>
        <v>379.33333333333331</v>
      </c>
      <c r="H21" s="688">
        <f t="shared" ref="H21:H29" si="12">G21*92</f>
        <v>34898.666666666664</v>
      </c>
      <c r="I21" s="686">
        <v>402</v>
      </c>
      <c r="J21" s="686">
        <v>393</v>
      </c>
      <c r="K21" s="686">
        <v>373</v>
      </c>
      <c r="L21" s="687">
        <f t="shared" ref="L21:L25" si="13">SUM(I21:K21)/3</f>
        <v>389.33333333333331</v>
      </c>
      <c r="M21" s="688">
        <f t="shared" ref="M21:M29" si="14">L21*92</f>
        <v>35818.666666666664</v>
      </c>
      <c r="N21" s="686">
        <v>368</v>
      </c>
      <c r="O21" s="686">
        <v>398</v>
      </c>
      <c r="P21" s="686">
        <v>387</v>
      </c>
      <c r="Q21" s="687">
        <f t="shared" ref="Q21:Q30" si="15">SUM(N21:P21)/3</f>
        <v>384.33333333333331</v>
      </c>
      <c r="R21" s="688">
        <f t="shared" ref="R21:R30" si="16">Q21*91</f>
        <v>34974.333333333328</v>
      </c>
      <c r="S21" s="686">
        <v>387</v>
      </c>
      <c r="T21" s="686">
        <v>402</v>
      </c>
      <c r="U21" s="885">
        <v>396</v>
      </c>
      <c r="V21" s="687">
        <f t="shared" ref="V21:V30" si="17">SUM(S21:U21)/3</f>
        <v>395</v>
      </c>
      <c r="W21" s="689">
        <f t="shared" ref="W21:W29" si="18">V21*91</f>
        <v>35945</v>
      </c>
      <c r="X21" s="690">
        <f>SUM(D21+E21+F21+I21+J21+K21+N21+O21+P21+S21+T21+U21)/12</f>
        <v>387</v>
      </c>
      <c r="Y21" s="691">
        <f>X21*366</f>
        <v>141642</v>
      </c>
    </row>
    <row r="22" spans="1:25" ht="15" customHeight="1" thickBot="1" x14ac:dyDescent="0.3">
      <c r="A22" s="31" t="s">
        <v>125</v>
      </c>
      <c r="B22" s="609" t="s">
        <v>96</v>
      </c>
      <c r="C22" s="370" t="s">
        <v>96</v>
      </c>
      <c r="D22" s="5">
        <v>0</v>
      </c>
      <c r="E22" s="5">
        <v>0</v>
      </c>
      <c r="F22" s="5">
        <v>0</v>
      </c>
      <c r="G22" s="40">
        <f t="shared" si="11"/>
        <v>0</v>
      </c>
      <c r="H22" s="64">
        <f t="shared" si="12"/>
        <v>0</v>
      </c>
      <c r="I22" s="5">
        <v>0</v>
      </c>
      <c r="J22" s="5">
        <v>0</v>
      </c>
      <c r="K22" s="5">
        <v>0</v>
      </c>
      <c r="L22" s="40">
        <f t="shared" si="13"/>
        <v>0</v>
      </c>
      <c r="M22" s="64">
        <f t="shared" si="14"/>
        <v>0</v>
      </c>
      <c r="N22" s="5">
        <v>0</v>
      </c>
      <c r="O22" s="5">
        <v>0</v>
      </c>
      <c r="P22" s="5">
        <v>0</v>
      </c>
      <c r="Q22" s="40">
        <f t="shared" si="15"/>
        <v>0</v>
      </c>
      <c r="R22" s="64">
        <f t="shared" si="16"/>
        <v>0</v>
      </c>
      <c r="S22" s="5">
        <v>0</v>
      </c>
      <c r="T22" s="5">
        <v>0</v>
      </c>
      <c r="U22" s="884">
        <v>0</v>
      </c>
      <c r="V22" s="40">
        <f t="shared" si="17"/>
        <v>0</v>
      </c>
      <c r="W22" s="65">
        <f t="shared" si="18"/>
        <v>0</v>
      </c>
      <c r="X22" s="41">
        <f>SUM(D22+E22+F22+I22+J22+K22+N22+O22+P22+S22+T22+U22)/12</f>
        <v>0</v>
      </c>
      <c r="Y22" s="42">
        <f t="shared" ref="Y22:Y30" si="19">X22*366</f>
        <v>0</v>
      </c>
    </row>
    <row r="23" spans="1:25" ht="15" customHeight="1" thickBot="1" x14ac:dyDescent="0.3">
      <c r="A23" s="31" t="s">
        <v>127</v>
      </c>
      <c r="B23" s="610">
        <v>19</v>
      </c>
      <c r="C23" s="370" t="s">
        <v>96</v>
      </c>
      <c r="D23" s="5">
        <v>24</v>
      </c>
      <c r="E23" s="5">
        <v>25</v>
      </c>
      <c r="F23" s="5">
        <v>21</v>
      </c>
      <c r="G23" s="40">
        <f t="shared" si="11"/>
        <v>23.333333333333332</v>
      </c>
      <c r="H23" s="64">
        <f t="shared" si="12"/>
        <v>2146.6666666666665</v>
      </c>
      <c r="I23" s="5">
        <v>20</v>
      </c>
      <c r="J23" s="5">
        <v>18</v>
      </c>
      <c r="K23" s="5">
        <v>19</v>
      </c>
      <c r="L23" s="40">
        <f t="shared" si="13"/>
        <v>19</v>
      </c>
      <c r="M23" s="64">
        <f t="shared" si="14"/>
        <v>1748</v>
      </c>
      <c r="N23" s="5">
        <v>19</v>
      </c>
      <c r="O23" s="5">
        <v>23</v>
      </c>
      <c r="P23" s="5">
        <v>25</v>
      </c>
      <c r="Q23" s="40">
        <f t="shared" si="15"/>
        <v>22.333333333333332</v>
      </c>
      <c r="R23" s="64">
        <f t="shared" si="16"/>
        <v>2032.3333333333333</v>
      </c>
      <c r="S23" s="5">
        <v>25</v>
      </c>
      <c r="T23" s="5">
        <v>20</v>
      </c>
      <c r="U23" s="884">
        <v>18</v>
      </c>
      <c r="V23" s="40">
        <f t="shared" si="17"/>
        <v>21</v>
      </c>
      <c r="W23" s="65">
        <f t="shared" si="18"/>
        <v>1911</v>
      </c>
      <c r="X23" s="41">
        <f>SUM(D23+E23+F23+I23+J23+K23+N23+O23+P23+S23+T23+U23)/12</f>
        <v>21.416666666666668</v>
      </c>
      <c r="Y23" s="42">
        <f t="shared" si="19"/>
        <v>7838.5</v>
      </c>
    </row>
    <row r="24" spans="1:25" ht="15" customHeight="1" thickBot="1" x14ac:dyDescent="0.3">
      <c r="A24" s="31" t="s">
        <v>126</v>
      </c>
      <c r="B24" s="610" t="s">
        <v>341</v>
      </c>
      <c r="C24" s="370" t="s">
        <v>96</v>
      </c>
      <c r="D24" s="5">
        <v>207</v>
      </c>
      <c r="E24" s="5">
        <v>211</v>
      </c>
      <c r="F24" s="5">
        <v>218</v>
      </c>
      <c r="G24" s="40">
        <f t="shared" si="11"/>
        <v>212</v>
      </c>
      <c r="H24" s="64">
        <f t="shared" si="12"/>
        <v>19504</v>
      </c>
      <c r="I24" s="5">
        <v>226</v>
      </c>
      <c r="J24" s="5">
        <v>230</v>
      </c>
      <c r="K24" s="5">
        <v>223</v>
      </c>
      <c r="L24" s="40">
        <f t="shared" si="13"/>
        <v>226.33333333333334</v>
      </c>
      <c r="M24" s="64">
        <f t="shared" si="14"/>
        <v>20822.666666666668</v>
      </c>
      <c r="N24" s="5">
        <v>236</v>
      </c>
      <c r="O24" s="5">
        <v>257</v>
      </c>
      <c r="P24" s="5">
        <v>269</v>
      </c>
      <c r="Q24" s="40">
        <f t="shared" si="15"/>
        <v>254</v>
      </c>
      <c r="R24" s="64">
        <f t="shared" si="16"/>
        <v>23114</v>
      </c>
      <c r="S24" s="5">
        <v>269</v>
      </c>
      <c r="T24" s="5">
        <v>292</v>
      </c>
      <c r="U24" s="884">
        <v>291</v>
      </c>
      <c r="V24" s="40">
        <f t="shared" si="17"/>
        <v>284</v>
      </c>
      <c r="W24" s="65">
        <f t="shared" si="18"/>
        <v>25844</v>
      </c>
      <c r="X24" s="41">
        <f>SUM(D24+E24+F24+I24+J24+K24+N24+O24+P24+S24+T24+U24)/12</f>
        <v>244.08333333333334</v>
      </c>
      <c r="Y24" s="42">
        <f t="shared" si="19"/>
        <v>89334.5</v>
      </c>
    </row>
    <row r="25" spans="1:25" ht="15" customHeight="1" thickBot="1" x14ac:dyDescent="0.3">
      <c r="A25" s="908" t="s">
        <v>686</v>
      </c>
      <c r="B25" s="909" t="s">
        <v>341</v>
      </c>
      <c r="C25" s="910" t="s">
        <v>96</v>
      </c>
      <c r="D25" s="911">
        <v>0</v>
      </c>
      <c r="E25" s="911">
        <v>0</v>
      </c>
      <c r="F25" s="911">
        <v>0</v>
      </c>
      <c r="G25" s="798">
        <f t="shared" ref="G25" si="20">SUM(D25:F25)/3</f>
        <v>0</v>
      </c>
      <c r="H25" s="799">
        <f t="shared" si="12"/>
        <v>0</v>
      </c>
      <c r="I25" s="911">
        <v>0</v>
      </c>
      <c r="J25" s="911">
        <v>0</v>
      </c>
      <c r="K25" s="911">
        <v>0</v>
      </c>
      <c r="L25" s="798">
        <f t="shared" si="13"/>
        <v>0</v>
      </c>
      <c r="M25" s="799">
        <f t="shared" si="14"/>
        <v>0</v>
      </c>
      <c r="N25" s="911">
        <v>0</v>
      </c>
      <c r="O25" s="912">
        <v>0</v>
      </c>
      <c r="P25" s="912">
        <v>0</v>
      </c>
      <c r="Q25" s="798">
        <f t="shared" si="15"/>
        <v>0</v>
      </c>
      <c r="R25" s="799">
        <f t="shared" si="16"/>
        <v>0</v>
      </c>
      <c r="S25" s="911">
        <v>0</v>
      </c>
      <c r="T25" s="912">
        <v>0</v>
      </c>
      <c r="U25" s="913">
        <v>0</v>
      </c>
      <c r="V25" s="798">
        <f t="shared" si="17"/>
        <v>0</v>
      </c>
      <c r="W25" s="802">
        <f t="shared" si="18"/>
        <v>0</v>
      </c>
      <c r="X25" s="803">
        <f t="shared" ref="X25" si="21">SUM(D25+E25+F25+I25+J25+K25+N25+O25+P25+S25+T25+U25)/9</f>
        <v>0</v>
      </c>
      <c r="Y25" s="42">
        <f t="shared" si="19"/>
        <v>0</v>
      </c>
    </row>
    <row r="26" spans="1:25" ht="15" customHeight="1" thickBot="1" x14ac:dyDescent="0.3">
      <c r="A26" s="908" t="s">
        <v>736</v>
      </c>
      <c r="B26" s="909" t="s">
        <v>341</v>
      </c>
      <c r="C26" s="910" t="s">
        <v>96</v>
      </c>
      <c r="D26" s="911">
        <v>1357</v>
      </c>
      <c r="E26" s="911">
        <v>1323</v>
      </c>
      <c r="F26" s="911">
        <v>1344</v>
      </c>
      <c r="G26" s="798">
        <f t="shared" ref="G26:G29" si="22">SUM(D26:F26)/3</f>
        <v>1341.3333333333333</v>
      </c>
      <c r="H26" s="799">
        <f t="shared" si="12"/>
        <v>123402.66666666666</v>
      </c>
      <c r="I26" s="911">
        <v>1365</v>
      </c>
      <c r="J26" s="911">
        <v>1374</v>
      </c>
      <c r="K26" s="911">
        <v>1389</v>
      </c>
      <c r="L26" s="798">
        <f t="shared" ref="L26:L30" si="23">SUM(I26:K26)/3</f>
        <v>1376</v>
      </c>
      <c r="M26" s="799">
        <f t="shared" si="14"/>
        <v>126592</v>
      </c>
      <c r="N26" s="911">
        <v>1385</v>
      </c>
      <c r="O26" s="912">
        <v>1363</v>
      </c>
      <c r="P26" s="912">
        <v>1338</v>
      </c>
      <c r="Q26" s="798">
        <f t="shared" si="15"/>
        <v>1362</v>
      </c>
      <c r="R26" s="799">
        <f t="shared" si="16"/>
        <v>123942</v>
      </c>
      <c r="S26" s="911">
        <v>1293</v>
      </c>
      <c r="T26" s="912">
        <v>1273</v>
      </c>
      <c r="U26" s="913">
        <v>1265</v>
      </c>
      <c r="V26" s="798">
        <f t="shared" si="17"/>
        <v>1277</v>
      </c>
      <c r="W26" s="802">
        <f t="shared" si="18"/>
        <v>116207</v>
      </c>
      <c r="X26" s="803">
        <f>SUM(D26+E26+F26+I26+J26+K26+N26+O26+P26+S26+T26+U26)/12</f>
        <v>1339.0833333333333</v>
      </c>
      <c r="Y26" s="42">
        <f>X26*366</f>
        <v>490104.5</v>
      </c>
    </row>
    <row r="27" spans="1:25" ht="15" customHeight="1" thickBot="1" x14ac:dyDescent="0.3">
      <c r="A27" s="31" t="s">
        <v>281</v>
      </c>
      <c r="B27" s="610" t="s">
        <v>341</v>
      </c>
      <c r="C27" s="370" t="s">
        <v>96</v>
      </c>
      <c r="D27" s="5">
        <v>0</v>
      </c>
      <c r="E27" s="5">
        <v>0</v>
      </c>
      <c r="F27" s="5">
        <v>0</v>
      </c>
      <c r="G27" s="40">
        <f t="shared" si="22"/>
        <v>0</v>
      </c>
      <c r="H27" s="64">
        <f t="shared" si="12"/>
        <v>0</v>
      </c>
      <c r="I27" s="5">
        <v>0</v>
      </c>
      <c r="J27" s="5">
        <v>0</v>
      </c>
      <c r="K27" s="5">
        <v>0</v>
      </c>
      <c r="L27" s="40">
        <f t="shared" si="23"/>
        <v>0</v>
      </c>
      <c r="M27" s="64">
        <f t="shared" si="14"/>
        <v>0</v>
      </c>
      <c r="N27" s="5">
        <v>0</v>
      </c>
      <c r="O27" s="5">
        <v>0</v>
      </c>
      <c r="P27" s="5">
        <v>0</v>
      </c>
      <c r="Q27" s="40">
        <f t="shared" si="15"/>
        <v>0</v>
      </c>
      <c r="R27" s="64">
        <f t="shared" si="16"/>
        <v>0</v>
      </c>
      <c r="S27" s="5">
        <v>0</v>
      </c>
      <c r="T27" s="5">
        <v>0</v>
      </c>
      <c r="U27" s="5">
        <v>0</v>
      </c>
      <c r="V27" s="40">
        <f t="shared" si="17"/>
        <v>0</v>
      </c>
      <c r="W27" s="65">
        <f t="shared" si="18"/>
        <v>0</v>
      </c>
      <c r="X27" s="41">
        <v>0</v>
      </c>
      <c r="Y27" s="42">
        <f t="shared" si="19"/>
        <v>0</v>
      </c>
    </row>
    <row r="28" spans="1:25" ht="15" customHeight="1" thickBot="1" x14ac:dyDescent="0.3">
      <c r="A28" s="31" t="s">
        <v>128</v>
      </c>
      <c r="B28" s="610" t="s">
        <v>341</v>
      </c>
      <c r="C28" s="370" t="s">
        <v>96</v>
      </c>
      <c r="D28" s="5">
        <v>7</v>
      </c>
      <c r="E28" s="5">
        <v>7</v>
      </c>
      <c r="F28" s="5">
        <v>7</v>
      </c>
      <c r="G28" s="40">
        <f t="shared" si="22"/>
        <v>7</v>
      </c>
      <c r="H28" s="64">
        <f t="shared" si="12"/>
        <v>644</v>
      </c>
      <c r="I28" s="5">
        <v>7</v>
      </c>
      <c r="J28" s="5">
        <v>7</v>
      </c>
      <c r="K28" s="5">
        <v>7</v>
      </c>
      <c r="L28" s="40">
        <f t="shared" si="23"/>
        <v>7</v>
      </c>
      <c r="M28" s="64">
        <f t="shared" si="14"/>
        <v>644</v>
      </c>
      <c r="N28" s="5">
        <v>7</v>
      </c>
      <c r="O28" s="49">
        <v>7</v>
      </c>
      <c r="P28" s="49">
        <v>7</v>
      </c>
      <c r="Q28" s="40">
        <f t="shared" si="15"/>
        <v>7</v>
      </c>
      <c r="R28" s="64">
        <f t="shared" si="16"/>
        <v>637</v>
      </c>
      <c r="S28" s="5">
        <v>7</v>
      </c>
      <c r="T28" s="49">
        <v>7</v>
      </c>
      <c r="U28" s="50">
        <v>6</v>
      </c>
      <c r="V28" s="40">
        <f t="shared" si="17"/>
        <v>6.666666666666667</v>
      </c>
      <c r="W28" s="66">
        <f t="shared" si="18"/>
        <v>606.66666666666674</v>
      </c>
      <c r="X28" s="41">
        <f>SUM(D28+E28+F28+I28+J28+K28+N28+O28+P28+S28+T28+U28)/12</f>
        <v>6.916666666666667</v>
      </c>
      <c r="Y28" s="42">
        <f t="shared" si="19"/>
        <v>2531.5</v>
      </c>
    </row>
    <row r="29" spans="1:25" ht="15" customHeight="1" thickBot="1" x14ac:dyDescent="0.3">
      <c r="A29" s="33" t="s">
        <v>132</v>
      </c>
      <c r="B29" s="23"/>
      <c r="C29" s="23"/>
      <c r="D29" s="51">
        <f>SUM(D21:D28)</f>
        <v>1968</v>
      </c>
      <c r="E29" s="51">
        <f>SUM(E21:E28)</f>
        <v>1947</v>
      </c>
      <c r="F29" s="51">
        <f>SUM(F21:F28)</f>
        <v>1974</v>
      </c>
      <c r="G29" s="44">
        <f t="shared" si="22"/>
        <v>1963</v>
      </c>
      <c r="H29" s="64">
        <f t="shared" si="12"/>
        <v>180596</v>
      </c>
      <c r="I29" s="59">
        <f>SUM(I21:I28)</f>
        <v>2020</v>
      </c>
      <c r="J29" s="51">
        <f>SUM(J21:J28)</f>
        <v>2022</v>
      </c>
      <c r="K29" s="51">
        <f>SUM(K21:K28)</f>
        <v>2011</v>
      </c>
      <c r="L29" s="44">
        <f t="shared" si="23"/>
        <v>2017.6666666666667</v>
      </c>
      <c r="M29" s="70">
        <f t="shared" si="14"/>
        <v>185625.33333333334</v>
      </c>
      <c r="N29" s="59">
        <f>SUM(N21:N28)</f>
        <v>2015</v>
      </c>
      <c r="O29" s="51">
        <f>SUM(O21:O28)</f>
        <v>2048</v>
      </c>
      <c r="P29" s="51">
        <f>SUM(P21:P28)</f>
        <v>2026</v>
      </c>
      <c r="Q29" s="44">
        <f t="shared" si="15"/>
        <v>2029.6666666666667</v>
      </c>
      <c r="R29" s="64">
        <f t="shared" si="16"/>
        <v>184699.66666666669</v>
      </c>
      <c r="S29" s="59">
        <f>SUM(S21:S28)</f>
        <v>1981</v>
      </c>
      <c r="T29" s="51">
        <f>SUM(T21:T28)</f>
        <v>1994</v>
      </c>
      <c r="U29" s="52">
        <f>SUM(U21:U28)</f>
        <v>1976</v>
      </c>
      <c r="V29" s="44">
        <f t="shared" si="17"/>
        <v>1983.6666666666667</v>
      </c>
      <c r="W29" s="71">
        <f t="shared" si="18"/>
        <v>180513.66666666669</v>
      </c>
      <c r="X29" s="45">
        <f>SUM(X21:X28)</f>
        <v>1998.5</v>
      </c>
      <c r="Y29" s="42">
        <f t="shared" si="19"/>
        <v>731451</v>
      </c>
    </row>
    <row r="30" spans="1:25" ht="15" customHeight="1" thickBot="1" x14ac:dyDescent="0.3">
      <c r="A30" s="34" t="s">
        <v>136</v>
      </c>
      <c r="B30" s="24"/>
      <c r="C30" s="24"/>
      <c r="D30" s="51">
        <f>D19+D29</f>
        <v>6459</v>
      </c>
      <c r="E30" s="51">
        <f>E19+E29</f>
        <v>6443</v>
      </c>
      <c r="F30" s="51">
        <f>F19+F29</f>
        <v>6486</v>
      </c>
      <c r="G30" s="51">
        <f>G19+G29</f>
        <v>6462.666666666667</v>
      </c>
      <c r="H30" s="44">
        <f>SUM(H19+H29)</f>
        <v>594565.33333333337</v>
      </c>
      <c r="I30" s="51">
        <f>I19+I29</f>
        <v>6515</v>
      </c>
      <c r="J30" s="51">
        <f>J19+J29</f>
        <v>6480</v>
      </c>
      <c r="K30" s="51">
        <f>K19+K29</f>
        <v>6447</v>
      </c>
      <c r="L30" s="71">
        <f t="shared" si="23"/>
        <v>6480.666666666667</v>
      </c>
      <c r="M30" s="44">
        <f>SUM(M19+M29)</f>
        <v>596221.33333333337</v>
      </c>
      <c r="N30" s="59">
        <f>N19+N29</f>
        <v>6450</v>
      </c>
      <c r="O30" s="51">
        <f>O19+O29</f>
        <v>6456</v>
      </c>
      <c r="P30" s="51">
        <f>P19+P29</f>
        <v>6434</v>
      </c>
      <c r="Q30" s="63">
        <f t="shared" si="15"/>
        <v>6446.666666666667</v>
      </c>
      <c r="R30" s="44">
        <f t="shared" si="16"/>
        <v>586646.66666666674</v>
      </c>
      <c r="S30" s="59">
        <f>S19+S29</f>
        <v>6390</v>
      </c>
      <c r="T30" s="51">
        <f>T19+T29</f>
        <v>6397</v>
      </c>
      <c r="U30" s="52">
        <f>U19+U29</f>
        <v>6384</v>
      </c>
      <c r="V30" s="63">
        <f t="shared" si="17"/>
        <v>6390.333333333333</v>
      </c>
      <c r="W30" s="44">
        <f>SUM(W19+W29)</f>
        <v>581520.33333333337</v>
      </c>
      <c r="X30" s="51">
        <f>X19+X29</f>
        <v>6445.083333333333</v>
      </c>
      <c r="Y30" s="42">
        <f t="shared" si="19"/>
        <v>2358900.5</v>
      </c>
    </row>
    <row r="31" spans="1:25" ht="15" customHeight="1" x14ac:dyDescent="0.25">
      <c r="A31" s="914"/>
      <c r="B31" s="678"/>
      <c r="C31" s="678"/>
      <c r="D31" s="679"/>
      <c r="E31" s="679"/>
      <c r="F31" s="679"/>
      <c r="G31" s="679"/>
      <c r="H31" s="680"/>
      <c r="I31" s="679"/>
      <c r="J31" s="679"/>
      <c r="K31" s="679"/>
      <c r="L31" s="681"/>
      <c r="M31" s="680"/>
      <c r="N31" s="679"/>
      <c r="O31" s="679"/>
      <c r="P31" s="679"/>
      <c r="Q31" s="682"/>
      <c r="R31" s="680"/>
      <c r="S31" s="679"/>
      <c r="T31" s="679"/>
      <c r="U31" s="679"/>
      <c r="V31" s="682"/>
      <c r="W31" s="680"/>
      <c r="X31" s="679"/>
      <c r="Y31" s="679"/>
    </row>
    <row r="32" spans="1:25" ht="15" customHeight="1" thickBot="1" x14ac:dyDescent="0.3">
      <c r="A32" s="915"/>
      <c r="B32" s="678"/>
      <c r="C32" s="678"/>
      <c r="D32" s="679"/>
      <c r="E32" s="679"/>
      <c r="F32" s="679"/>
      <c r="G32" s="679"/>
      <c r="H32" s="680"/>
      <c r="I32" s="679"/>
      <c r="J32" s="679"/>
      <c r="K32" s="679"/>
      <c r="L32" s="681"/>
      <c r="M32" s="680"/>
      <c r="N32" s="679"/>
      <c r="O32" s="679"/>
      <c r="P32" s="679"/>
      <c r="Q32" s="682"/>
      <c r="R32" s="680"/>
      <c r="S32" s="679"/>
      <c r="T32" s="679"/>
      <c r="U32" s="679"/>
      <c r="V32" s="682"/>
      <c r="W32" s="680"/>
      <c r="X32" s="679"/>
      <c r="Y32" s="679"/>
    </row>
    <row r="33" spans="1:25" ht="15" customHeight="1" thickBot="1" x14ac:dyDescent="0.3">
      <c r="A33" s="677" t="s">
        <v>815</v>
      </c>
      <c r="B33" s="1021" t="s">
        <v>133</v>
      </c>
      <c r="C33" s="1022"/>
      <c r="D33" s="1022"/>
      <c r="E33" s="1022"/>
      <c r="F33" s="1022"/>
      <c r="G33" s="1022"/>
      <c r="H33" s="1022"/>
      <c r="I33" s="1022"/>
      <c r="J33" s="1022"/>
      <c r="K33" s="1022"/>
      <c r="L33" s="1022"/>
      <c r="M33" s="1022"/>
      <c r="N33" s="1022"/>
      <c r="O33" s="1022"/>
      <c r="P33" s="1022"/>
      <c r="Q33" s="1022"/>
      <c r="R33" s="1022"/>
      <c r="S33" s="1022"/>
      <c r="T33" s="1022"/>
      <c r="U33" s="1022"/>
      <c r="V33" s="633"/>
      <c r="W33" s="633"/>
      <c r="X33" s="58"/>
      <c r="Y33" s="8"/>
    </row>
    <row r="34" spans="1:25" ht="27" customHeight="1" x14ac:dyDescent="0.25">
      <c r="A34" s="35"/>
      <c r="B34" s="25" t="s">
        <v>418</v>
      </c>
      <c r="C34" s="1019" t="s">
        <v>419</v>
      </c>
      <c r="D34" s="636"/>
      <c r="E34" s="36"/>
      <c r="F34" s="36"/>
      <c r="G34" s="1013" t="s">
        <v>224</v>
      </c>
      <c r="H34" s="1023" t="s">
        <v>229</v>
      </c>
      <c r="I34" s="36"/>
      <c r="J34" s="36"/>
      <c r="K34" s="36"/>
      <c r="L34" s="1013" t="s">
        <v>224</v>
      </c>
      <c r="M34" s="1023" t="s">
        <v>229</v>
      </c>
      <c r="N34" s="36"/>
      <c r="O34" s="36"/>
      <c r="P34" s="36"/>
      <c r="Q34" s="1013" t="s">
        <v>224</v>
      </c>
      <c r="R34" s="1015" t="s">
        <v>229</v>
      </c>
      <c r="S34" s="36"/>
      <c r="T34" s="36"/>
      <c r="U34" s="37"/>
      <c r="V34" s="1013" t="s">
        <v>224</v>
      </c>
      <c r="W34" s="1015" t="s">
        <v>229</v>
      </c>
      <c r="X34" s="1017" t="s">
        <v>699</v>
      </c>
      <c r="Y34" s="1019" t="s">
        <v>135</v>
      </c>
    </row>
    <row r="35" spans="1:25" ht="19.5" customHeight="1" thickBot="1" x14ac:dyDescent="0.3">
      <c r="A35" s="632" t="s">
        <v>55</v>
      </c>
      <c r="B35" s="26" t="s">
        <v>420</v>
      </c>
      <c r="C35" s="1020"/>
      <c r="D35" s="38">
        <v>44743</v>
      </c>
      <c r="E35" s="38">
        <v>44774</v>
      </c>
      <c r="F35" s="38">
        <v>44805</v>
      </c>
      <c r="G35" s="1014"/>
      <c r="H35" s="1024"/>
      <c r="I35" s="39">
        <v>44835</v>
      </c>
      <c r="J35" s="39">
        <v>44866</v>
      </c>
      <c r="K35" s="39">
        <v>44896</v>
      </c>
      <c r="L35" s="1014"/>
      <c r="M35" s="1024"/>
      <c r="N35" s="39">
        <v>44927</v>
      </c>
      <c r="O35" s="39">
        <v>44958</v>
      </c>
      <c r="P35" s="39">
        <v>44986</v>
      </c>
      <c r="Q35" s="1014"/>
      <c r="R35" s="1016"/>
      <c r="S35" s="39">
        <v>45017</v>
      </c>
      <c r="T35" s="39">
        <v>45047</v>
      </c>
      <c r="U35" s="39">
        <v>45078</v>
      </c>
      <c r="V35" s="1014"/>
      <c r="W35" s="1016"/>
      <c r="X35" s="1018"/>
      <c r="Y35" s="1020"/>
    </row>
    <row r="36" spans="1:25" ht="15" customHeight="1" thickBot="1" x14ac:dyDescent="0.3">
      <c r="A36" s="29" t="s">
        <v>239</v>
      </c>
      <c r="B36" s="27">
        <v>863</v>
      </c>
      <c r="C36" s="27">
        <v>829</v>
      </c>
      <c r="D36" s="874">
        <v>848.2</v>
      </c>
      <c r="E36" s="874">
        <v>854.6</v>
      </c>
      <c r="F36" s="874">
        <v>834</v>
      </c>
      <c r="G36" s="40">
        <f t="shared" ref="G36:G43" si="24">SUM(D36:F36)/3</f>
        <v>845.6</v>
      </c>
      <c r="H36" s="64">
        <f>G36*92</f>
        <v>77795.199999999997</v>
      </c>
      <c r="I36" s="875">
        <v>762.5</v>
      </c>
      <c r="J36" s="875">
        <v>770.8</v>
      </c>
      <c r="K36" s="875">
        <v>791</v>
      </c>
      <c r="L36" s="40">
        <f>SUM(I36:K36)/3</f>
        <v>774.76666666666677</v>
      </c>
      <c r="M36" s="64">
        <f>L36*92</f>
        <v>71278.53333333334</v>
      </c>
      <c r="N36" s="876">
        <v>775</v>
      </c>
      <c r="O36" s="876">
        <v>757</v>
      </c>
      <c r="P36" s="876">
        <v>781</v>
      </c>
      <c r="Q36" s="40">
        <f>SUM(N36:P36)/3</f>
        <v>771</v>
      </c>
      <c r="R36" s="64">
        <f>Q36*90</f>
        <v>69390</v>
      </c>
      <c r="S36" s="876">
        <v>777</v>
      </c>
      <c r="T36" s="876">
        <v>774</v>
      </c>
      <c r="U36" s="877">
        <v>769</v>
      </c>
      <c r="V36" s="40">
        <f>SUM(S36:U36)/3</f>
        <v>773.33333333333337</v>
      </c>
      <c r="W36" s="65">
        <f>V36*91</f>
        <v>70373.333333333343</v>
      </c>
      <c r="X36" s="41">
        <f>SUM(D36+E36+F36+I36+J36+K36+N36+O36+P36+S36+T36+U36)/12</f>
        <v>791.17500000000007</v>
      </c>
      <c r="Y36" s="42">
        <f>X36*365</f>
        <v>288778.875</v>
      </c>
    </row>
    <row r="37" spans="1:25" ht="15" customHeight="1" thickBot="1" x14ac:dyDescent="0.3">
      <c r="A37" s="30" t="s">
        <v>120</v>
      </c>
      <c r="B37" s="27">
        <v>128</v>
      </c>
      <c r="C37" s="27">
        <v>126</v>
      </c>
      <c r="D37" s="878">
        <v>116.8</v>
      </c>
      <c r="E37" s="878">
        <v>118.3</v>
      </c>
      <c r="F37" s="878">
        <v>119</v>
      </c>
      <c r="G37" s="40">
        <f t="shared" si="24"/>
        <v>118.03333333333335</v>
      </c>
      <c r="H37" s="64">
        <f>G37*92</f>
        <v>10859.066666666668</v>
      </c>
      <c r="I37" s="879">
        <v>101</v>
      </c>
      <c r="J37" s="879">
        <v>101.9</v>
      </c>
      <c r="K37" s="879">
        <v>107</v>
      </c>
      <c r="L37" s="40">
        <f>SUM(I37:K37)/3</f>
        <v>103.3</v>
      </c>
      <c r="M37" s="64">
        <f>L37*92</f>
        <v>9503.6</v>
      </c>
      <c r="N37" s="880">
        <v>101</v>
      </c>
      <c r="O37" s="880">
        <v>99</v>
      </c>
      <c r="P37" s="880">
        <v>100</v>
      </c>
      <c r="Q37" s="40">
        <f>SUM(N37:P37)/3</f>
        <v>100</v>
      </c>
      <c r="R37" s="64">
        <f t="shared" ref="R37:R49" si="25">Q37*90</f>
        <v>9000</v>
      </c>
      <c r="S37" s="880">
        <v>102</v>
      </c>
      <c r="T37" s="880">
        <v>102</v>
      </c>
      <c r="U37" s="881">
        <v>102</v>
      </c>
      <c r="V37" s="40">
        <f>SUM(S37:U37)/3</f>
        <v>102</v>
      </c>
      <c r="W37" s="65">
        <f>V37*91</f>
        <v>9282</v>
      </c>
      <c r="X37" s="41">
        <f>SUM(D37+E37+F37+I37+J37+K37+N37+O37+P37+S37+T37+U37)/12</f>
        <v>105.83333333333333</v>
      </c>
      <c r="Y37" s="42">
        <f t="shared" ref="Y37:Y61" si="26">X37*365</f>
        <v>38629.166666666664</v>
      </c>
    </row>
    <row r="38" spans="1:25" ht="15" customHeight="1" thickBot="1" x14ac:dyDescent="0.3">
      <c r="A38" s="31" t="s">
        <v>262</v>
      </c>
      <c r="B38" s="27">
        <v>259</v>
      </c>
      <c r="C38" s="27">
        <v>248</v>
      </c>
      <c r="D38" s="882">
        <v>262.3</v>
      </c>
      <c r="E38" s="882">
        <v>250.4</v>
      </c>
      <c r="F38" s="882">
        <v>246</v>
      </c>
      <c r="G38" s="40">
        <f t="shared" si="24"/>
        <v>252.9</v>
      </c>
      <c r="H38" s="64">
        <f>G38*92</f>
        <v>23266.799999999999</v>
      </c>
      <c r="I38" s="883">
        <v>228.5</v>
      </c>
      <c r="J38" s="883">
        <v>229.2</v>
      </c>
      <c r="K38" s="883">
        <v>228</v>
      </c>
      <c r="L38" s="40">
        <f>SUM(I38:K38)/3</f>
        <v>228.56666666666669</v>
      </c>
      <c r="M38" s="64">
        <f>L38*92</f>
        <v>21028.133333333335</v>
      </c>
      <c r="N38" s="5">
        <v>227</v>
      </c>
      <c r="O38" s="5">
        <v>229</v>
      </c>
      <c r="P38" s="5">
        <v>248</v>
      </c>
      <c r="Q38" s="40">
        <f>SUM(N38:P38)/3</f>
        <v>234.66666666666666</v>
      </c>
      <c r="R38" s="64">
        <f t="shared" si="25"/>
        <v>21120</v>
      </c>
      <c r="S38" s="5">
        <v>238</v>
      </c>
      <c r="T38" s="5">
        <v>235</v>
      </c>
      <c r="U38" s="884">
        <v>228</v>
      </c>
      <c r="V38" s="40">
        <f>SUM(S38:U38)/3</f>
        <v>233.66666666666666</v>
      </c>
      <c r="W38" s="65">
        <f>V38*91</f>
        <v>21263.666666666664</v>
      </c>
      <c r="X38" s="41">
        <f>SUM(D38+E38+F38+I38+J38+K38+N38+O38+P38+S38+T38+U38)/12</f>
        <v>237.45000000000002</v>
      </c>
      <c r="Y38" s="42">
        <f t="shared" si="26"/>
        <v>86669.25</v>
      </c>
    </row>
    <row r="39" spans="1:25" ht="15" customHeight="1" thickBot="1" x14ac:dyDescent="0.3">
      <c r="A39" s="31" t="s">
        <v>342</v>
      </c>
      <c r="B39" s="27">
        <v>1472</v>
      </c>
      <c r="C39" s="27">
        <v>1408</v>
      </c>
      <c r="D39" s="882">
        <v>1340.3</v>
      </c>
      <c r="E39" s="882">
        <v>1234.0999999999999</v>
      </c>
      <c r="F39" s="882">
        <v>1249</v>
      </c>
      <c r="G39" s="40">
        <f t="shared" si="24"/>
        <v>1274.4666666666665</v>
      </c>
      <c r="H39" s="64">
        <f>G39*92</f>
        <v>117250.93333333332</v>
      </c>
      <c r="I39" s="883">
        <v>1337.5</v>
      </c>
      <c r="J39" s="883">
        <v>1364.8</v>
      </c>
      <c r="K39" s="883">
        <v>1271</v>
      </c>
      <c r="L39" s="40">
        <f>SUM(I39:K39)/3</f>
        <v>1324.4333333333334</v>
      </c>
      <c r="M39" s="64">
        <f>L39*92</f>
        <v>121847.86666666667</v>
      </c>
      <c r="N39" s="5">
        <v>1268</v>
      </c>
      <c r="O39" s="5">
        <v>1297</v>
      </c>
      <c r="P39" s="5">
        <v>1299</v>
      </c>
      <c r="Q39" s="40">
        <f>SUM(N39:P39)/3</f>
        <v>1288</v>
      </c>
      <c r="R39" s="64">
        <f t="shared" si="25"/>
        <v>115920</v>
      </c>
      <c r="S39" s="5">
        <v>1316</v>
      </c>
      <c r="T39" s="5">
        <v>1333</v>
      </c>
      <c r="U39" s="884">
        <v>1338</v>
      </c>
      <c r="V39" s="40">
        <f>SUM(S39:U39)/3</f>
        <v>1329</v>
      </c>
      <c r="W39" s="65">
        <f>V39*91</f>
        <v>120939</v>
      </c>
      <c r="X39" s="41">
        <f t="shared" ref="X39:X47" si="27">SUM(D39+E39+F39+I39+J39+K39+N39+O39+P39+S39+T39+U39)/12</f>
        <v>1303.9750000000001</v>
      </c>
      <c r="Y39" s="42">
        <f t="shared" si="26"/>
        <v>475950.87500000006</v>
      </c>
    </row>
    <row r="40" spans="1:25" ht="15" customHeight="1" thickBot="1" x14ac:dyDescent="0.3">
      <c r="A40" s="32" t="s">
        <v>227</v>
      </c>
      <c r="B40" s="27">
        <v>404</v>
      </c>
      <c r="C40" s="27">
        <v>395</v>
      </c>
      <c r="D40" s="882">
        <v>348.5</v>
      </c>
      <c r="E40" s="882">
        <v>353.6</v>
      </c>
      <c r="F40" s="882">
        <v>357</v>
      </c>
      <c r="G40" s="40">
        <f t="shared" si="24"/>
        <v>353.0333333333333</v>
      </c>
      <c r="H40" s="64">
        <f t="shared" ref="H40:H49" si="28">G40*92</f>
        <v>32479.066666666666</v>
      </c>
      <c r="I40" s="883">
        <v>360.1</v>
      </c>
      <c r="J40" s="883">
        <v>345</v>
      </c>
      <c r="K40" s="883">
        <v>330</v>
      </c>
      <c r="L40" s="40">
        <f t="shared" ref="L40:L50" si="29">SUM(I40:K40)/3</f>
        <v>345.0333333333333</v>
      </c>
      <c r="M40" s="64">
        <f t="shared" ref="M40:M50" si="30">L40*92</f>
        <v>31743.066666666666</v>
      </c>
      <c r="N40" s="5">
        <v>325</v>
      </c>
      <c r="O40" s="5">
        <v>348</v>
      </c>
      <c r="P40" s="5">
        <v>343</v>
      </c>
      <c r="Q40" s="40">
        <f t="shared" ref="Q40:Q50" si="31">SUM(N40:P40)/3</f>
        <v>338.66666666666669</v>
      </c>
      <c r="R40" s="64">
        <f t="shared" si="25"/>
        <v>30480</v>
      </c>
      <c r="S40" s="5">
        <v>355</v>
      </c>
      <c r="T40" s="5">
        <v>355</v>
      </c>
      <c r="U40" s="884">
        <v>348</v>
      </c>
      <c r="V40" s="40">
        <f t="shared" ref="V40:V50" si="32">SUM(S40:U40)/3</f>
        <v>352.66666666666669</v>
      </c>
      <c r="W40" s="65">
        <f t="shared" ref="W40:W50" si="33">V40*91</f>
        <v>32092.666666666668</v>
      </c>
      <c r="X40" s="41">
        <f>SUM(D40+E40+F40+I40+J40+K40+N40+O40+P40+S40+T40+U40)/12</f>
        <v>347.34999999999997</v>
      </c>
      <c r="Y40" s="42">
        <f t="shared" si="26"/>
        <v>126782.74999999999</v>
      </c>
    </row>
    <row r="41" spans="1:25" ht="15" customHeight="1" thickBot="1" x14ac:dyDescent="0.3">
      <c r="A41" s="31" t="s">
        <v>15</v>
      </c>
      <c r="B41" s="27">
        <v>58</v>
      </c>
      <c r="C41" s="27">
        <v>52</v>
      </c>
      <c r="D41" s="882">
        <v>57.8</v>
      </c>
      <c r="E41" s="882">
        <v>50.7</v>
      </c>
      <c r="F41" s="882">
        <v>53</v>
      </c>
      <c r="G41" s="40">
        <f t="shared" si="24"/>
        <v>53.833333333333336</v>
      </c>
      <c r="H41" s="64">
        <f t="shared" si="28"/>
        <v>4952.666666666667</v>
      </c>
      <c r="I41" s="883">
        <v>51.9</v>
      </c>
      <c r="J41" s="883">
        <v>46.6</v>
      </c>
      <c r="K41" s="883">
        <v>43</v>
      </c>
      <c r="L41" s="40">
        <f t="shared" si="29"/>
        <v>47.166666666666664</v>
      </c>
      <c r="M41" s="64">
        <f t="shared" si="30"/>
        <v>4339.333333333333</v>
      </c>
      <c r="N41" s="5">
        <v>47</v>
      </c>
      <c r="O41" s="5">
        <v>50</v>
      </c>
      <c r="P41" s="5">
        <v>49</v>
      </c>
      <c r="Q41" s="40">
        <f t="shared" si="31"/>
        <v>48.666666666666664</v>
      </c>
      <c r="R41" s="64">
        <f t="shared" si="25"/>
        <v>4380</v>
      </c>
      <c r="S41" s="5">
        <v>50</v>
      </c>
      <c r="T41" s="5">
        <v>52</v>
      </c>
      <c r="U41" s="884">
        <v>48</v>
      </c>
      <c r="V41" s="40">
        <f t="shared" si="32"/>
        <v>50</v>
      </c>
      <c r="W41" s="65">
        <f t="shared" si="33"/>
        <v>4550</v>
      </c>
      <c r="X41" s="41">
        <f>SUM(D41+E41+F41+I41+J41+K41+N41+O41+P41+S41+T41+U41)/12</f>
        <v>49.916666666666664</v>
      </c>
      <c r="Y41" s="42">
        <f t="shared" si="26"/>
        <v>18219.583333333332</v>
      </c>
    </row>
    <row r="42" spans="1:25" ht="15" customHeight="1" thickBot="1" x14ac:dyDescent="0.3">
      <c r="A42" s="31" t="s">
        <v>16</v>
      </c>
      <c r="B42" s="27" t="s">
        <v>816</v>
      </c>
      <c r="C42" s="27" t="s">
        <v>817</v>
      </c>
      <c r="D42" s="882">
        <v>215.8</v>
      </c>
      <c r="E42" s="882">
        <v>217.1</v>
      </c>
      <c r="F42" s="882">
        <v>203</v>
      </c>
      <c r="G42" s="40">
        <f t="shared" si="24"/>
        <v>211.96666666666667</v>
      </c>
      <c r="H42" s="64">
        <f t="shared" si="28"/>
        <v>19500.933333333334</v>
      </c>
      <c r="I42" s="883">
        <v>174.8</v>
      </c>
      <c r="J42" s="883">
        <v>121</v>
      </c>
      <c r="K42" s="883">
        <v>108</v>
      </c>
      <c r="L42" s="40">
        <f t="shared" si="29"/>
        <v>134.6</v>
      </c>
      <c r="M42" s="64">
        <f t="shared" si="30"/>
        <v>12383.199999999999</v>
      </c>
      <c r="N42" s="5">
        <v>119</v>
      </c>
      <c r="O42" s="5">
        <v>116</v>
      </c>
      <c r="P42" s="5">
        <v>113</v>
      </c>
      <c r="Q42" s="40">
        <f t="shared" si="31"/>
        <v>116</v>
      </c>
      <c r="R42" s="64">
        <f t="shared" si="25"/>
        <v>10440</v>
      </c>
      <c r="S42" s="5">
        <v>102</v>
      </c>
      <c r="T42" s="5">
        <v>103</v>
      </c>
      <c r="U42" s="884">
        <v>107</v>
      </c>
      <c r="V42" s="40">
        <f t="shared" si="32"/>
        <v>104</v>
      </c>
      <c r="W42" s="65">
        <f t="shared" si="33"/>
        <v>9464</v>
      </c>
      <c r="X42" s="41">
        <f t="shared" si="27"/>
        <v>141.64166666666668</v>
      </c>
      <c r="Y42" s="42">
        <f t="shared" si="26"/>
        <v>51699.208333333336</v>
      </c>
    </row>
    <row r="43" spans="1:25" ht="15" customHeight="1" thickBot="1" x14ac:dyDescent="0.3">
      <c r="A43" s="31" t="s">
        <v>121</v>
      </c>
      <c r="B43" s="27">
        <v>102</v>
      </c>
      <c r="C43" s="27">
        <v>98</v>
      </c>
      <c r="D43" s="882">
        <v>83.1</v>
      </c>
      <c r="E43" s="882">
        <v>88.6</v>
      </c>
      <c r="F43" s="882">
        <v>77</v>
      </c>
      <c r="G43" s="40">
        <f t="shared" si="24"/>
        <v>82.899999999999991</v>
      </c>
      <c r="H43" s="64">
        <f t="shared" si="28"/>
        <v>7626.7999999999993</v>
      </c>
      <c r="I43" s="883">
        <v>66.5</v>
      </c>
      <c r="J43" s="883">
        <v>62.3</v>
      </c>
      <c r="K43" s="883">
        <v>82</v>
      </c>
      <c r="L43" s="40">
        <f t="shared" si="29"/>
        <v>70.266666666666666</v>
      </c>
      <c r="M43" s="64">
        <f t="shared" si="30"/>
        <v>6464.5333333333328</v>
      </c>
      <c r="N43" s="5">
        <v>91</v>
      </c>
      <c r="O43" s="5">
        <v>83</v>
      </c>
      <c r="P43" s="5">
        <v>98</v>
      </c>
      <c r="Q43" s="40">
        <f t="shared" si="31"/>
        <v>90.666666666666671</v>
      </c>
      <c r="R43" s="64">
        <f t="shared" si="25"/>
        <v>8160</v>
      </c>
      <c r="S43" s="5">
        <v>87</v>
      </c>
      <c r="T43" s="5">
        <v>87</v>
      </c>
      <c r="U43" s="884">
        <v>78</v>
      </c>
      <c r="V43" s="40">
        <f t="shared" si="32"/>
        <v>84</v>
      </c>
      <c r="W43" s="65">
        <f t="shared" si="33"/>
        <v>7644</v>
      </c>
      <c r="X43" s="41">
        <f t="shared" si="27"/>
        <v>81.958333333333329</v>
      </c>
      <c r="Y43" s="42">
        <f t="shared" si="26"/>
        <v>29914.791666666664</v>
      </c>
    </row>
    <row r="44" spans="1:25" ht="15" customHeight="1" thickBot="1" x14ac:dyDescent="0.3">
      <c r="A44" s="32" t="s">
        <v>228</v>
      </c>
      <c r="B44" s="27">
        <v>116</v>
      </c>
      <c r="C44" s="27">
        <v>116</v>
      </c>
      <c r="D44" s="882">
        <f>258.9+138.5</f>
        <v>397.4</v>
      </c>
      <c r="E44" s="882">
        <f>274.9+168.4</f>
        <v>443.29999999999995</v>
      </c>
      <c r="F44" s="882">
        <f>277.8+170.4</f>
        <v>448.20000000000005</v>
      </c>
      <c r="G44" s="40">
        <f t="shared" ref="G44:G45" si="34">SUM(D44:F44)/3</f>
        <v>429.63333333333338</v>
      </c>
      <c r="H44" s="64">
        <f t="shared" si="28"/>
        <v>39526.26666666667</v>
      </c>
      <c r="I44" s="883">
        <f>282.6+173.5</f>
        <v>456.1</v>
      </c>
      <c r="J44" s="883">
        <f>293.2+170.9</f>
        <v>464.1</v>
      </c>
      <c r="K44" s="883">
        <f>SUM(293.9+165.6)</f>
        <v>459.5</v>
      </c>
      <c r="L44" s="40">
        <f t="shared" si="29"/>
        <v>459.90000000000003</v>
      </c>
      <c r="M44" s="64">
        <f t="shared" si="30"/>
        <v>42310.8</v>
      </c>
      <c r="N44" s="5">
        <f>(289+169)</f>
        <v>458</v>
      </c>
      <c r="O44" s="5">
        <f>SUM(289+165)</f>
        <v>454</v>
      </c>
      <c r="P44" s="5">
        <v>457</v>
      </c>
      <c r="Q44" s="40">
        <f t="shared" si="31"/>
        <v>456.33333333333331</v>
      </c>
      <c r="R44" s="64">
        <f t="shared" si="25"/>
        <v>41070</v>
      </c>
      <c r="S44" s="5">
        <v>447</v>
      </c>
      <c r="T44" s="5">
        <v>434</v>
      </c>
      <c r="U44" s="884">
        <v>453</v>
      </c>
      <c r="V44" s="40">
        <f t="shared" si="32"/>
        <v>444.66666666666669</v>
      </c>
      <c r="W44" s="65">
        <f t="shared" si="33"/>
        <v>40464.666666666672</v>
      </c>
      <c r="X44" s="41">
        <f t="shared" si="27"/>
        <v>447.63333333333338</v>
      </c>
      <c r="Y44" s="42">
        <f t="shared" si="26"/>
        <v>163386.16666666669</v>
      </c>
    </row>
    <row r="45" spans="1:25" ht="15" customHeight="1" thickBot="1" x14ac:dyDescent="0.3">
      <c r="A45" s="31" t="s">
        <v>129</v>
      </c>
      <c r="B45" s="27">
        <v>128</v>
      </c>
      <c r="C45" s="27">
        <v>128</v>
      </c>
      <c r="D45" s="882">
        <v>60.5</v>
      </c>
      <c r="E45" s="882">
        <v>56.3</v>
      </c>
      <c r="F45" s="882">
        <v>71.8</v>
      </c>
      <c r="G45" s="40">
        <f t="shared" si="34"/>
        <v>62.866666666666667</v>
      </c>
      <c r="H45" s="64">
        <f t="shared" si="28"/>
        <v>5783.7333333333336</v>
      </c>
      <c r="I45" s="883">
        <v>72</v>
      </c>
      <c r="J45" s="883">
        <v>75</v>
      </c>
      <c r="K45" s="883">
        <v>73</v>
      </c>
      <c r="L45" s="40">
        <f t="shared" si="29"/>
        <v>73.333333333333329</v>
      </c>
      <c r="M45" s="64">
        <f t="shared" si="30"/>
        <v>6746.6666666666661</v>
      </c>
      <c r="N45" s="5">
        <v>63</v>
      </c>
      <c r="O45" s="5">
        <v>61</v>
      </c>
      <c r="P45" s="5">
        <v>65</v>
      </c>
      <c r="Q45" s="40">
        <f t="shared" si="31"/>
        <v>63</v>
      </c>
      <c r="R45" s="64">
        <f t="shared" si="25"/>
        <v>5670</v>
      </c>
      <c r="S45" s="5">
        <v>64</v>
      </c>
      <c r="T45" s="5">
        <v>54</v>
      </c>
      <c r="U45" s="5">
        <v>56</v>
      </c>
      <c r="V45" s="40">
        <f t="shared" si="32"/>
        <v>58</v>
      </c>
      <c r="W45" s="65">
        <f t="shared" si="33"/>
        <v>5278</v>
      </c>
      <c r="X45" s="41">
        <f t="shared" si="27"/>
        <v>64.3</v>
      </c>
      <c r="Y45" s="42">
        <f t="shared" si="26"/>
        <v>23469.5</v>
      </c>
    </row>
    <row r="46" spans="1:25" ht="15" customHeight="1" thickBot="1" x14ac:dyDescent="0.3">
      <c r="A46" s="30" t="s">
        <v>19</v>
      </c>
      <c r="B46" s="27">
        <v>551</v>
      </c>
      <c r="C46" s="27">
        <v>535</v>
      </c>
      <c r="D46" s="878">
        <v>349.8</v>
      </c>
      <c r="E46" s="878">
        <v>378.1</v>
      </c>
      <c r="F46" s="878">
        <v>387.7</v>
      </c>
      <c r="G46" s="40">
        <f>SUM(D46:F46)/3</f>
        <v>371.86666666666673</v>
      </c>
      <c r="H46" s="64">
        <f t="shared" si="28"/>
        <v>34211.733333333337</v>
      </c>
      <c r="I46" s="879">
        <v>393</v>
      </c>
      <c r="J46" s="883">
        <v>396.9</v>
      </c>
      <c r="K46" s="879">
        <v>402</v>
      </c>
      <c r="L46" s="40">
        <f t="shared" si="29"/>
        <v>397.3</v>
      </c>
      <c r="M46" s="65">
        <f t="shared" si="30"/>
        <v>36551.599999999999</v>
      </c>
      <c r="N46" s="5">
        <v>401</v>
      </c>
      <c r="O46" s="880">
        <v>406</v>
      </c>
      <c r="P46" s="5">
        <v>410</v>
      </c>
      <c r="Q46" s="40">
        <f t="shared" si="31"/>
        <v>405.66666666666669</v>
      </c>
      <c r="R46" s="64">
        <f t="shared" si="25"/>
        <v>36510</v>
      </c>
      <c r="S46" s="5">
        <v>407</v>
      </c>
      <c r="T46" s="880">
        <v>409</v>
      </c>
      <c r="U46" s="881">
        <v>407</v>
      </c>
      <c r="V46" s="40">
        <f t="shared" si="32"/>
        <v>407.66666666666669</v>
      </c>
      <c r="W46" s="65">
        <f t="shared" si="33"/>
        <v>37097.666666666672</v>
      </c>
      <c r="X46" s="41">
        <f t="shared" si="27"/>
        <v>395.625</v>
      </c>
      <c r="Y46" s="42">
        <f t="shared" si="26"/>
        <v>144403.125</v>
      </c>
    </row>
    <row r="47" spans="1:25" ht="15" customHeight="1" thickBot="1" x14ac:dyDescent="0.3">
      <c r="A47" s="32" t="s">
        <v>340</v>
      </c>
      <c r="B47" s="27">
        <f>360+116</f>
        <v>476</v>
      </c>
      <c r="C47" s="27">
        <f>354+111</f>
        <v>465</v>
      </c>
      <c r="D47" s="882">
        <f>320.6+129.2</f>
        <v>449.8</v>
      </c>
      <c r="E47" s="882">
        <f>314.7+118.2</f>
        <v>432.9</v>
      </c>
      <c r="F47" s="882">
        <f>311.4+109.3</f>
        <v>420.7</v>
      </c>
      <c r="G47" s="40">
        <f>SUM(D47:F47)/3</f>
        <v>434.4666666666667</v>
      </c>
      <c r="H47" s="64">
        <f t="shared" si="28"/>
        <v>39970.933333333334</v>
      </c>
      <c r="I47" s="883">
        <f>315.8+105.5</f>
        <v>421.3</v>
      </c>
      <c r="J47" s="883">
        <f>316.8+108.2</f>
        <v>425</v>
      </c>
      <c r="K47" s="883">
        <f>SUM(313+108)</f>
        <v>421</v>
      </c>
      <c r="L47" s="40">
        <f t="shared" si="29"/>
        <v>422.43333333333334</v>
      </c>
      <c r="M47" s="64">
        <f t="shared" si="30"/>
        <v>38863.866666666669</v>
      </c>
      <c r="N47" s="5">
        <f>SUM(306+116)</f>
        <v>422</v>
      </c>
      <c r="O47" s="5">
        <f>SUM(306+105)</f>
        <v>411</v>
      </c>
      <c r="P47" s="5">
        <v>401</v>
      </c>
      <c r="Q47" s="40">
        <f t="shared" si="31"/>
        <v>411.33333333333331</v>
      </c>
      <c r="R47" s="64">
        <f t="shared" si="25"/>
        <v>37020</v>
      </c>
      <c r="S47" s="5">
        <v>403</v>
      </c>
      <c r="T47" s="5">
        <v>413</v>
      </c>
      <c r="U47" s="884">
        <v>413</v>
      </c>
      <c r="V47" s="40">
        <f t="shared" si="32"/>
        <v>409.66666666666669</v>
      </c>
      <c r="W47" s="65">
        <f t="shared" si="33"/>
        <v>37279.666666666672</v>
      </c>
      <c r="X47" s="41">
        <f t="shared" si="27"/>
        <v>419.47499999999997</v>
      </c>
      <c r="Y47" s="42">
        <f t="shared" si="26"/>
        <v>153108.375</v>
      </c>
    </row>
    <row r="48" spans="1:25" ht="15" customHeight="1" thickBot="1" x14ac:dyDescent="0.3">
      <c r="A48" s="31" t="s">
        <v>122</v>
      </c>
      <c r="B48" s="27">
        <v>200</v>
      </c>
      <c r="C48" s="27">
        <v>189</v>
      </c>
      <c r="D48" s="882">
        <v>209.2</v>
      </c>
      <c r="E48" s="882">
        <v>190.6</v>
      </c>
      <c r="F48" s="882">
        <v>191.5</v>
      </c>
      <c r="G48" s="40">
        <f>SUM(D48:F48)/3</f>
        <v>197.1</v>
      </c>
      <c r="H48" s="64">
        <f t="shared" si="28"/>
        <v>18133.2</v>
      </c>
      <c r="I48" s="883">
        <v>176.3</v>
      </c>
      <c r="J48" s="883">
        <v>175.3</v>
      </c>
      <c r="K48" s="883">
        <v>157</v>
      </c>
      <c r="L48" s="40">
        <f t="shared" si="29"/>
        <v>169.53333333333333</v>
      </c>
      <c r="M48" s="64">
        <f t="shared" si="30"/>
        <v>15597.066666666666</v>
      </c>
      <c r="N48" s="5">
        <v>159</v>
      </c>
      <c r="O48" s="5">
        <v>161</v>
      </c>
      <c r="P48" s="5">
        <v>146</v>
      </c>
      <c r="Q48" s="40">
        <f t="shared" si="31"/>
        <v>155.33333333333334</v>
      </c>
      <c r="R48" s="64">
        <f t="shared" si="25"/>
        <v>13980</v>
      </c>
      <c r="S48" s="5">
        <v>135</v>
      </c>
      <c r="T48" s="5">
        <v>140</v>
      </c>
      <c r="U48" s="884">
        <v>149</v>
      </c>
      <c r="V48" s="40">
        <f t="shared" si="32"/>
        <v>141.33333333333334</v>
      </c>
      <c r="W48" s="65">
        <f t="shared" si="33"/>
        <v>12861.333333333334</v>
      </c>
      <c r="X48" s="41">
        <f>SUM(D48+E48+F48+I48+J48+K48+N48+O48+P48+S48+T48+U48)/12</f>
        <v>165.82499999999999</v>
      </c>
      <c r="Y48" s="42">
        <f t="shared" si="26"/>
        <v>60526.124999999993</v>
      </c>
    </row>
    <row r="49" spans="1:27" ht="15" customHeight="1" thickBot="1" x14ac:dyDescent="0.3">
      <c r="A49" s="31" t="s">
        <v>123</v>
      </c>
      <c r="B49" s="21"/>
      <c r="C49" s="21"/>
      <c r="D49" s="4">
        <v>0</v>
      </c>
      <c r="E49" s="4">
        <v>0</v>
      </c>
      <c r="F49" s="4">
        <v>0</v>
      </c>
      <c r="G49" s="43">
        <f>SUM(D49:F49)/3</f>
        <v>0</v>
      </c>
      <c r="H49" s="64">
        <f t="shared" si="28"/>
        <v>0</v>
      </c>
      <c r="I49" s="4"/>
      <c r="J49" s="4"/>
      <c r="K49" s="4"/>
      <c r="L49" s="43">
        <f t="shared" si="29"/>
        <v>0</v>
      </c>
      <c r="M49" s="64">
        <f t="shared" si="30"/>
        <v>0</v>
      </c>
      <c r="N49" s="4"/>
      <c r="O49" s="4"/>
      <c r="P49" s="4"/>
      <c r="Q49" s="43">
        <f t="shared" si="31"/>
        <v>0</v>
      </c>
      <c r="R49" s="64">
        <f t="shared" si="25"/>
        <v>0</v>
      </c>
      <c r="S49" s="3" t="s">
        <v>96</v>
      </c>
      <c r="T49" s="3" t="s">
        <v>96</v>
      </c>
      <c r="U49" s="4" t="s">
        <v>96</v>
      </c>
      <c r="V49" s="43">
        <f t="shared" si="32"/>
        <v>0</v>
      </c>
      <c r="W49" s="66">
        <f t="shared" si="33"/>
        <v>0</v>
      </c>
      <c r="X49" s="41">
        <v>0</v>
      </c>
      <c r="Y49" s="42">
        <f t="shared" si="26"/>
        <v>0</v>
      </c>
    </row>
    <row r="50" spans="1:27" ht="15" customHeight="1" thickBot="1" x14ac:dyDescent="0.3">
      <c r="A50" s="442" t="s">
        <v>130</v>
      </c>
      <c r="B50" s="443"/>
      <c r="C50" s="443"/>
      <c r="D50" s="444">
        <f>SUM(D36:D49)</f>
        <v>4739.5</v>
      </c>
      <c r="E50" s="444">
        <f>SUM(E36:E49)</f>
        <v>4668.5999999999995</v>
      </c>
      <c r="F50" s="444">
        <f>SUM(F36:F49)</f>
        <v>4657.8999999999996</v>
      </c>
      <c r="G50" s="445">
        <f>SUM(D50:F50)/3</f>
        <v>4688.6666666666661</v>
      </c>
      <c r="H50" s="446">
        <f>G50*92</f>
        <v>431357.33333333326</v>
      </c>
      <c r="I50" s="447">
        <f>SUM(I36:I49)</f>
        <v>4601.5</v>
      </c>
      <c r="J50" s="444">
        <f>SUM(J36:J49)</f>
        <v>4577.9000000000005</v>
      </c>
      <c r="K50" s="444">
        <f>SUM(K36:K49)</f>
        <v>4472.5</v>
      </c>
      <c r="L50" s="445">
        <f t="shared" si="29"/>
        <v>4550.6333333333341</v>
      </c>
      <c r="M50" s="448">
        <f t="shared" si="30"/>
        <v>418658.26666666672</v>
      </c>
      <c r="N50" s="449">
        <f>SUM(N36:N49)</f>
        <v>4456</v>
      </c>
      <c r="O50" s="444">
        <f>SUM(O36:O49)</f>
        <v>4472</v>
      </c>
      <c r="P50" s="444">
        <f>SUM(P36:P49)</f>
        <v>4510</v>
      </c>
      <c r="Q50" s="445">
        <f t="shared" si="31"/>
        <v>4479.333333333333</v>
      </c>
      <c r="R50" s="446">
        <f>Q50*90</f>
        <v>403140</v>
      </c>
      <c r="S50" s="447">
        <f>SUM(S36:S49)</f>
        <v>4483</v>
      </c>
      <c r="T50" s="444">
        <f>SUM(T36:T48)</f>
        <v>4491</v>
      </c>
      <c r="U50" s="450">
        <f>SUM(U36:U49)</f>
        <v>4496</v>
      </c>
      <c r="V50" s="445">
        <f t="shared" si="32"/>
        <v>4490</v>
      </c>
      <c r="W50" s="451">
        <f t="shared" si="33"/>
        <v>408590</v>
      </c>
      <c r="X50" s="452">
        <f>SUM(D50+E50+F50+I50+J50+K50+N50+O50+P50+S50+T50+U50)/12</f>
        <v>4552.1583333333338</v>
      </c>
      <c r="Y50" s="42">
        <f>X50*365</f>
        <v>1661537.7916666667</v>
      </c>
      <c r="AA50" s="67"/>
    </row>
    <row r="51" spans="1:27" ht="15" customHeight="1" thickBot="1" x14ac:dyDescent="0.3">
      <c r="A51" s="28" t="s">
        <v>131</v>
      </c>
      <c r="B51" s="22"/>
      <c r="C51" s="22"/>
      <c r="D51" s="637"/>
      <c r="E51" s="637"/>
      <c r="F51" s="638"/>
      <c r="G51" s="62"/>
      <c r="H51" s="62"/>
      <c r="I51" s="48"/>
      <c r="J51" s="46"/>
      <c r="K51" s="47"/>
      <c r="L51" s="61"/>
      <c r="M51" s="61"/>
      <c r="N51" s="48"/>
      <c r="O51" s="46"/>
      <c r="P51" s="47"/>
      <c r="Q51" s="61"/>
      <c r="R51" s="64">
        <f>Q51*90</f>
        <v>0</v>
      </c>
      <c r="S51" s="48"/>
      <c r="T51" s="46"/>
      <c r="U51" s="47"/>
      <c r="V51" s="47"/>
      <c r="W51" s="46"/>
      <c r="X51" s="60"/>
      <c r="Y51" s="42">
        <f t="shared" si="26"/>
        <v>0</v>
      </c>
    </row>
    <row r="52" spans="1:27" ht="15" customHeight="1" thickBot="1" x14ac:dyDescent="0.3">
      <c r="A52" s="683" t="s">
        <v>124</v>
      </c>
      <c r="B52" s="684">
        <f>463+56</f>
        <v>519</v>
      </c>
      <c r="C52" s="685" t="s">
        <v>96</v>
      </c>
      <c r="D52" s="686">
        <v>314</v>
      </c>
      <c r="E52" s="686">
        <v>341</v>
      </c>
      <c r="F52" s="686">
        <v>359.27</v>
      </c>
      <c r="G52" s="687">
        <f t="shared" ref="G52:G55" si="35">SUM(D52:F52)/3</f>
        <v>338.09</v>
      </c>
      <c r="H52" s="688">
        <f t="shared" ref="H52:H60" si="36">G52*92</f>
        <v>31104.28</v>
      </c>
      <c r="I52" s="686">
        <v>352.03</v>
      </c>
      <c r="J52" s="686">
        <v>318</v>
      </c>
      <c r="K52" s="686">
        <v>339</v>
      </c>
      <c r="L52" s="687">
        <f t="shared" ref="L52:L56" si="37">SUM(I52:K52)/3</f>
        <v>336.34333333333331</v>
      </c>
      <c r="M52" s="688">
        <f t="shared" ref="M52:M60" si="38">L52*92</f>
        <v>30943.586666666662</v>
      </c>
      <c r="N52" s="686">
        <v>338</v>
      </c>
      <c r="O52" s="686">
        <v>364</v>
      </c>
      <c r="P52" s="686">
        <v>381</v>
      </c>
      <c r="Q52" s="687">
        <f t="shared" ref="Q52:Q61" si="39">SUM(N52:P52)/3</f>
        <v>361</v>
      </c>
      <c r="R52" s="688">
        <f t="shared" ref="R52:R61" si="40">Q52*90</f>
        <v>32490</v>
      </c>
      <c r="S52" s="686">
        <v>367</v>
      </c>
      <c r="T52" s="686">
        <v>358</v>
      </c>
      <c r="U52" s="885">
        <v>358</v>
      </c>
      <c r="V52" s="687">
        <f t="shared" ref="V52:V61" si="41">SUM(S52:U52)/3</f>
        <v>361</v>
      </c>
      <c r="W52" s="689">
        <f t="shared" ref="W52:W60" si="42">V52*91</f>
        <v>32851</v>
      </c>
      <c r="X52" s="690">
        <f>SUM(D52+E52+F52+I52+J52+K52+N52+O52+P52+S52+T52+U52)/12</f>
        <v>349.10833333333335</v>
      </c>
      <c r="Y52" s="691">
        <f t="shared" si="26"/>
        <v>127424.54166666667</v>
      </c>
    </row>
    <row r="53" spans="1:27" ht="15" customHeight="1" thickBot="1" x14ac:dyDescent="0.3">
      <c r="A53" s="31" t="s">
        <v>125</v>
      </c>
      <c r="B53" s="609" t="s">
        <v>96</v>
      </c>
      <c r="C53" s="370" t="s">
        <v>96</v>
      </c>
      <c r="D53" s="5">
        <v>0</v>
      </c>
      <c r="E53" s="5">
        <v>0</v>
      </c>
      <c r="F53" s="5">
        <v>0</v>
      </c>
      <c r="G53" s="40">
        <f t="shared" si="35"/>
        <v>0</v>
      </c>
      <c r="H53" s="64">
        <f t="shared" si="36"/>
        <v>0</v>
      </c>
      <c r="I53" s="5">
        <v>0</v>
      </c>
      <c r="J53" s="5">
        <v>0</v>
      </c>
      <c r="K53" s="5">
        <v>0</v>
      </c>
      <c r="L53" s="40">
        <f t="shared" si="37"/>
        <v>0</v>
      </c>
      <c r="M53" s="64">
        <f t="shared" si="38"/>
        <v>0</v>
      </c>
      <c r="N53" s="5">
        <v>0</v>
      </c>
      <c r="O53" s="5">
        <v>0</v>
      </c>
      <c r="P53" s="5">
        <v>0</v>
      </c>
      <c r="Q53" s="40">
        <f t="shared" si="39"/>
        <v>0</v>
      </c>
      <c r="R53" s="64">
        <f t="shared" si="40"/>
        <v>0</v>
      </c>
      <c r="S53" s="5">
        <v>0</v>
      </c>
      <c r="T53" s="5">
        <v>0</v>
      </c>
      <c r="U53" s="884">
        <v>0</v>
      </c>
      <c r="V53" s="40">
        <f t="shared" si="41"/>
        <v>0</v>
      </c>
      <c r="W53" s="65">
        <f t="shared" si="42"/>
        <v>0</v>
      </c>
      <c r="X53" s="41">
        <f t="shared" ref="X53:X56" si="43">SUM(D53+E53+F53+I53+J53+K53+N53+O53+P53+S53+T53+U53)/12</f>
        <v>0</v>
      </c>
      <c r="Y53" s="42">
        <f t="shared" si="26"/>
        <v>0</v>
      </c>
    </row>
    <row r="54" spans="1:27" ht="15" customHeight="1" thickBot="1" x14ac:dyDescent="0.3">
      <c r="A54" s="31" t="s">
        <v>127</v>
      </c>
      <c r="B54" s="610">
        <v>19</v>
      </c>
      <c r="C54" s="370" t="s">
        <v>96</v>
      </c>
      <c r="D54" s="5">
        <v>18</v>
      </c>
      <c r="E54" s="5">
        <v>17</v>
      </c>
      <c r="F54" s="5">
        <v>14</v>
      </c>
      <c r="G54" s="40">
        <f t="shared" si="35"/>
        <v>16.333333333333332</v>
      </c>
      <c r="H54" s="64">
        <f t="shared" si="36"/>
        <v>1502.6666666666665</v>
      </c>
      <c r="I54" s="5">
        <v>10.48</v>
      </c>
      <c r="J54" s="5">
        <v>9</v>
      </c>
      <c r="K54" s="5">
        <v>23</v>
      </c>
      <c r="L54" s="40">
        <f t="shared" si="37"/>
        <v>14.160000000000002</v>
      </c>
      <c r="M54" s="64">
        <f t="shared" si="38"/>
        <v>1302.7200000000003</v>
      </c>
      <c r="N54" s="5">
        <v>24</v>
      </c>
      <c r="O54" s="5">
        <v>22</v>
      </c>
      <c r="P54" s="5">
        <v>21</v>
      </c>
      <c r="Q54" s="40">
        <f t="shared" si="39"/>
        <v>22.333333333333332</v>
      </c>
      <c r="R54" s="64">
        <f t="shared" si="40"/>
        <v>2010</v>
      </c>
      <c r="S54" s="5">
        <v>16</v>
      </c>
      <c r="T54" s="5">
        <v>18</v>
      </c>
      <c r="U54" s="884">
        <v>18</v>
      </c>
      <c r="V54" s="40">
        <f t="shared" si="41"/>
        <v>17.333333333333332</v>
      </c>
      <c r="W54" s="65">
        <f t="shared" si="42"/>
        <v>1577.3333333333333</v>
      </c>
      <c r="X54" s="41">
        <f>SUM(D54+E54+F54+I54+J54+K54+N54+O54+P54+S54+T54+U54)/12</f>
        <v>17.540000000000003</v>
      </c>
      <c r="Y54" s="42">
        <f t="shared" si="26"/>
        <v>6402.1000000000013</v>
      </c>
    </row>
    <row r="55" spans="1:27" ht="15" customHeight="1" thickBot="1" x14ac:dyDescent="0.3">
      <c r="A55" s="31" t="s">
        <v>126</v>
      </c>
      <c r="B55" s="610" t="s">
        <v>341</v>
      </c>
      <c r="C55" s="370" t="s">
        <v>96</v>
      </c>
      <c r="D55" s="5">
        <v>182</v>
      </c>
      <c r="E55" s="5">
        <v>175</v>
      </c>
      <c r="F55" s="5">
        <v>184</v>
      </c>
      <c r="G55" s="40">
        <f t="shared" si="35"/>
        <v>180.33333333333334</v>
      </c>
      <c r="H55" s="64">
        <f t="shared" si="36"/>
        <v>16590.666666666668</v>
      </c>
      <c r="I55" s="5">
        <v>184</v>
      </c>
      <c r="J55" s="5">
        <v>193</v>
      </c>
      <c r="K55" s="5">
        <v>187</v>
      </c>
      <c r="L55" s="40">
        <f t="shared" si="37"/>
        <v>188</v>
      </c>
      <c r="M55" s="64">
        <f t="shared" si="38"/>
        <v>17296</v>
      </c>
      <c r="N55" s="5">
        <v>189</v>
      </c>
      <c r="O55" s="5">
        <v>190</v>
      </c>
      <c r="P55" s="5">
        <v>193</v>
      </c>
      <c r="Q55" s="40">
        <f t="shared" si="39"/>
        <v>190.66666666666666</v>
      </c>
      <c r="R55" s="64">
        <f t="shared" si="40"/>
        <v>17160</v>
      </c>
      <c r="S55" s="5">
        <v>206</v>
      </c>
      <c r="T55" s="5">
        <v>212</v>
      </c>
      <c r="U55" s="884">
        <v>212</v>
      </c>
      <c r="V55" s="40">
        <f t="shared" si="41"/>
        <v>210</v>
      </c>
      <c r="W55" s="65">
        <f t="shared" si="42"/>
        <v>19110</v>
      </c>
      <c r="X55" s="41">
        <f>SUM(D55+E55+F55+I55+J55+K55+N55+O55+P55+S55+T55+U55)/12</f>
        <v>192.25</v>
      </c>
      <c r="Y55" s="42">
        <f t="shared" si="26"/>
        <v>70171.25</v>
      </c>
    </row>
    <row r="56" spans="1:27" ht="15" customHeight="1" thickBot="1" x14ac:dyDescent="0.3">
      <c r="A56" s="639" t="s">
        <v>686</v>
      </c>
      <c r="B56" s="640" t="s">
        <v>341</v>
      </c>
      <c r="C56" s="641" t="s">
        <v>96</v>
      </c>
      <c r="D56" s="642">
        <v>0</v>
      </c>
      <c r="E56" s="642">
        <v>0</v>
      </c>
      <c r="F56" s="642">
        <v>0</v>
      </c>
      <c r="G56" s="643">
        <f t="shared" ref="G56" si="44">SUM(D56:F56)/3</f>
        <v>0</v>
      </c>
      <c r="H56" s="644">
        <f t="shared" si="36"/>
        <v>0</v>
      </c>
      <c r="I56" s="642">
        <v>0</v>
      </c>
      <c r="J56" s="642">
        <v>0</v>
      </c>
      <c r="K56" s="642">
        <v>0</v>
      </c>
      <c r="L56" s="643">
        <f t="shared" si="37"/>
        <v>0</v>
      </c>
      <c r="M56" s="644">
        <f t="shared" si="38"/>
        <v>0</v>
      </c>
      <c r="N56" s="642">
        <v>0</v>
      </c>
      <c r="O56" s="645">
        <v>0</v>
      </c>
      <c r="P56" s="645">
        <v>0</v>
      </c>
      <c r="Q56" s="643">
        <f t="shared" si="39"/>
        <v>0</v>
      </c>
      <c r="R56" s="644">
        <f t="shared" si="40"/>
        <v>0</v>
      </c>
      <c r="S56" s="642">
        <v>0</v>
      </c>
      <c r="T56" s="645">
        <v>0</v>
      </c>
      <c r="U56" s="646">
        <v>0</v>
      </c>
      <c r="V56" s="643">
        <f t="shared" si="41"/>
        <v>0</v>
      </c>
      <c r="W56" s="647">
        <f t="shared" si="42"/>
        <v>0</v>
      </c>
      <c r="X56" s="648">
        <f t="shared" si="43"/>
        <v>0</v>
      </c>
      <c r="Y56" s="42">
        <f t="shared" si="26"/>
        <v>0</v>
      </c>
    </row>
    <row r="57" spans="1:27" ht="15" customHeight="1" thickBot="1" x14ac:dyDescent="0.3">
      <c r="A57" s="639" t="s">
        <v>736</v>
      </c>
      <c r="B57" s="640" t="s">
        <v>341</v>
      </c>
      <c r="C57" s="641" t="s">
        <v>96</v>
      </c>
      <c r="D57" s="642">
        <v>1595</v>
      </c>
      <c r="E57" s="642">
        <v>1634</v>
      </c>
      <c r="F57" s="642">
        <v>1655</v>
      </c>
      <c r="G57" s="643">
        <f t="shared" ref="G57:G60" si="45">SUM(D57:F57)/3</f>
        <v>1628</v>
      </c>
      <c r="H57" s="644">
        <f t="shared" si="36"/>
        <v>149776</v>
      </c>
      <c r="I57" s="642">
        <v>1576</v>
      </c>
      <c r="J57" s="642">
        <v>1647</v>
      </c>
      <c r="K57" s="642">
        <v>1470</v>
      </c>
      <c r="L57" s="643">
        <f t="shared" ref="L57:L61" si="46">SUM(I57:K57)/3</f>
        <v>1564.3333333333333</v>
      </c>
      <c r="M57" s="644">
        <f t="shared" si="38"/>
        <v>143918.66666666666</v>
      </c>
      <c r="N57" s="642">
        <v>1607</v>
      </c>
      <c r="O57" s="645">
        <v>1555</v>
      </c>
      <c r="P57" s="645">
        <v>1510</v>
      </c>
      <c r="Q57" s="643">
        <f t="shared" si="39"/>
        <v>1557.3333333333333</v>
      </c>
      <c r="R57" s="644">
        <f t="shared" si="40"/>
        <v>140160</v>
      </c>
      <c r="S57" s="642">
        <v>1473</v>
      </c>
      <c r="T57" s="645">
        <v>1463</v>
      </c>
      <c r="U57" s="646">
        <v>1426</v>
      </c>
      <c r="V57" s="643">
        <f t="shared" si="41"/>
        <v>1454</v>
      </c>
      <c r="W57" s="647">
        <f t="shared" si="42"/>
        <v>132314</v>
      </c>
      <c r="X57" s="648">
        <f>SUM(D57+E57+F57+I57+J57+K57+N57+O57+P57+S57+T57+U57)/12</f>
        <v>1550.9166666666667</v>
      </c>
      <c r="Y57" s="42">
        <f t="shared" si="26"/>
        <v>566084.58333333337</v>
      </c>
    </row>
    <row r="58" spans="1:27" ht="15" customHeight="1" thickBot="1" x14ac:dyDescent="0.3">
      <c r="A58" s="31" t="s">
        <v>281</v>
      </c>
      <c r="B58" s="610" t="s">
        <v>341</v>
      </c>
      <c r="C58" s="370" t="s">
        <v>96</v>
      </c>
      <c r="D58" s="5">
        <v>0</v>
      </c>
      <c r="E58" s="5">
        <v>0</v>
      </c>
      <c r="F58" s="5">
        <v>0</v>
      </c>
      <c r="G58" s="40">
        <f t="shared" si="45"/>
        <v>0</v>
      </c>
      <c r="H58" s="64">
        <f t="shared" si="36"/>
        <v>0</v>
      </c>
      <c r="I58" s="5">
        <v>0</v>
      </c>
      <c r="J58" s="5">
        <v>0</v>
      </c>
      <c r="K58" s="5">
        <v>0</v>
      </c>
      <c r="L58" s="40">
        <f t="shared" si="46"/>
        <v>0</v>
      </c>
      <c r="M58" s="64">
        <f t="shared" si="38"/>
        <v>0</v>
      </c>
      <c r="N58" s="5">
        <v>0</v>
      </c>
      <c r="O58" s="5">
        <v>0</v>
      </c>
      <c r="P58" s="5">
        <v>0</v>
      </c>
      <c r="Q58" s="40">
        <f t="shared" si="39"/>
        <v>0</v>
      </c>
      <c r="R58" s="64">
        <f t="shared" si="40"/>
        <v>0</v>
      </c>
      <c r="S58" s="5">
        <v>0</v>
      </c>
      <c r="T58" s="5">
        <v>0</v>
      </c>
      <c r="U58" s="5">
        <v>0</v>
      </c>
      <c r="V58" s="40">
        <f t="shared" si="41"/>
        <v>0</v>
      </c>
      <c r="W58" s="65">
        <f t="shared" si="42"/>
        <v>0</v>
      </c>
      <c r="X58" s="41">
        <v>0</v>
      </c>
      <c r="Y58" s="42">
        <f t="shared" si="26"/>
        <v>0</v>
      </c>
    </row>
    <row r="59" spans="1:27" ht="15" customHeight="1" thickBot="1" x14ac:dyDescent="0.3">
      <c r="A59" s="31" t="s">
        <v>128</v>
      </c>
      <c r="B59" s="610" t="s">
        <v>341</v>
      </c>
      <c r="C59" s="370" t="s">
        <v>96</v>
      </c>
      <c r="D59" s="5">
        <v>8</v>
      </c>
      <c r="E59" s="5">
        <v>8</v>
      </c>
      <c r="F59" s="5">
        <v>8</v>
      </c>
      <c r="G59" s="40">
        <f t="shared" si="45"/>
        <v>8</v>
      </c>
      <c r="H59" s="64">
        <f t="shared" si="36"/>
        <v>736</v>
      </c>
      <c r="I59" s="5">
        <v>8</v>
      </c>
      <c r="J59" s="5">
        <v>8</v>
      </c>
      <c r="K59" s="5">
        <v>8</v>
      </c>
      <c r="L59" s="40">
        <f t="shared" si="46"/>
        <v>8</v>
      </c>
      <c r="M59" s="64">
        <f t="shared" si="38"/>
        <v>736</v>
      </c>
      <c r="N59" s="5">
        <v>7</v>
      </c>
      <c r="O59" s="49">
        <v>7</v>
      </c>
      <c r="P59" s="49">
        <v>7</v>
      </c>
      <c r="Q59" s="40">
        <f t="shared" si="39"/>
        <v>7</v>
      </c>
      <c r="R59" s="64">
        <f t="shared" si="40"/>
        <v>630</v>
      </c>
      <c r="S59" s="5">
        <v>7</v>
      </c>
      <c r="T59" s="49">
        <v>7</v>
      </c>
      <c r="U59" s="50">
        <v>7</v>
      </c>
      <c r="V59" s="40">
        <f t="shared" si="41"/>
        <v>7</v>
      </c>
      <c r="W59" s="66">
        <f t="shared" si="42"/>
        <v>637</v>
      </c>
      <c r="X59" s="41">
        <f>SUM(D59+E59+F59+I59+J59+K59+N59+O59+P59+S59+T59+U59)/12</f>
        <v>7.5</v>
      </c>
      <c r="Y59" s="42">
        <f t="shared" si="26"/>
        <v>2737.5</v>
      </c>
    </row>
    <row r="60" spans="1:27" ht="15" customHeight="1" thickBot="1" x14ac:dyDescent="0.3">
      <c r="A60" s="33" t="s">
        <v>132</v>
      </c>
      <c r="B60" s="23"/>
      <c r="C60" s="23"/>
      <c r="D60" s="51">
        <f>SUM(D52:D59)</f>
        <v>2117</v>
      </c>
      <c r="E60" s="51">
        <f>SUM(E52:E59)</f>
        <v>2175</v>
      </c>
      <c r="F60" s="51">
        <f>SUM(F52:F59)</f>
        <v>2220.27</v>
      </c>
      <c r="G60" s="44">
        <f t="shared" si="45"/>
        <v>2170.7566666666667</v>
      </c>
      <c r="H60" s="64">
        <f t="shared" si="36"/>
        <v>199709.61333333334</v>
      </c>
      <c r="I60" s="59">
        <f>SUM(I52:I59)</f>
        <v>2130.5100000000002</v>
      </c>
      <c r="J60" s="51">
        <f>SUM(J52:J59)</f>
        <v>2175</v>
      </c>
      <c r="K60" s="51">
        <f>SUM(K52:K59)</f>
        <v>2027</v>
      </c>
      <c r="L60" s="44">
        <f t="shared" si="46"/>
        <v>2110.8366666666666</v>
      </c>
      <c r="M60" s="70">
        <f t="shared" si="38"/>
        <v>194196.97333333333</v>
      </c>
      <c r="N60" s="59">
        <f>SUM(N52:N59)</f>
        <v>2165</v>
      </c>
      <c r="O60" s="51">
        <f>SUM(O52:O59)</f>
        <v>2138</v>
      </c>
      <c r="P60" s="51">
        <f>SUM(P52:P59)</f>
        <v>2112</v>
      </c>
      <c r="Q60" s="44">
        <f t="shared" si="39"/>
        <v>2138.3333333333335</v>
      </c>
      <c r="R60" s="64">
        <f t="shared" si="40"/>
        <v>192450</v>
      </c>
      <c r="S60" s="59">
        <f>SUM(S52:S59)</f>
        <v>2069</v>
      </c>
      <c r="T60" s="51">
        <f>SUM(T52:T59)</f>
        <v>2058</v>
      </c>
      <c r="U60" s="52">
        <f>SUM(U52:U59)</f>
        <v>2021</v>
      </c>
      <c r="V60" s="44">
        <f t="shared" si="41"/>
        <v>2049.3333333333335</v>
      </c>
      <c r="W60" s="71">
        <f t="shared" si="42"/>
        <v>186489.33333333334</v>
      </c>
      <c r="X60" s="45">
        <f>SUM(X52:X59)</f>
        <v>2117.3150000000001</v>
      </c>
      <c r="Y60" s="42">
        <f t="shared" si="26"/>
        <v>772819.97499999998</v>
      </c>
    </row>
    <row r="61" spans="1:27" ht="15" customHeight="1" thickBot="1" x14ac:dyDescent="0.3">
      <c r="A61" s="34" t="s">
        <v>136</v>
      </c>
      <c r="B61" s="24"/>
      <c r="C61" s="24"/>
      <c r="D61" s="51">
        <f>D50+D60</f>
        <v>6856.5</v>
      </c>
      <c r="E61" s="51">
        <f>E50+E60</f>
        <v>6843.5999999999995</v>
      </c>
      <c r="F61" s="51">
        <f>F50+F60</f>
        <v>6878.17</v>
      </c>
      <c r="G61" s="51">
        <f>G50+G60</f>
        <v>6859.4233333333323</v>
      </c>
      <c r="H61" s="44">
        <f>SUM(H50+H60)</f>
        <v>631066.94666666654</v>
      </c>
      <c r="I61" s="51">
        <f>I50+I60</f>
        <v>6732.01</v>
      </c>
      <c r="J61" s="51">
        <f>J50+J60</f>
        <v>6752.9000000000005</v>
      </c>
      <c r="K61" s="51">
        <f>K50+K60</f>
        <v>6499.5</v>
      </c>
      <c r="L61" s="71">
        <f t="shared" si="46"/>
        <v>6661.47</v>
      </c>
      <c r="M61" s="44">
        <f>SUM(M50+M60)</f>
        <v>612855.24</v>
      </c>
      <c r="N61" s="59">
        <f>N50+N60</f>
        <v>6621</v>
      </c>
      <c r="O61" s="51">
        <f>O50+O60</f>
        <v>6610</v>
      </c>
      <c r="P61" s="51">
        <f>P50+P60</f>
        <v>6622</v>
      </c>
      <c r="Q61" s="63">
        <f t="shared" si="39"/>
        <v>6617.666666666667</v>
      </c>
      <c r="R61" s="64">
        <f t="shared" si="40"/>
        <v>595590</v>
      </c>
      <c r="S61" s="59">
        <f>S50+S60</f>
        <v>6552</v>
      </c>
      <c r="T61" s="51">
        <f>T50+T60</f>
        <v>6549</v>
      </c>
      <c r="U61" s="52">
        <f>U50+U60</f>
        <v>6517</v>
      </c>
      <c r="V61" s="63">
        <f t="shared" si="41"/>
        <v>6539.333333333333</v>
      </c>
      <c r="W61" s="44">
        <f>SUM(W50+W60)</f>
        <v>595079.33333333337</v>
      </c>
      <c r="X61" s="51">
        <f>X50+X60</f>
        <v>6669.4733333333334</v>
      </c>
      <c r="Y61" s="42">
        <f t="shared" si="26"/>
        <v>2434357.7666666666</v>
      </c>
    </row>
    <row r="62" spans="1:27" ht="31.5" customHeight="1" thickBot="1" x14ac:dyDescent="0.25">
      <c r="A62" s="676" t="s">
        <v>135</v>
      </c>
      <c r="B62" s="6"/>
      <c r="C62" s="6"/>
      <c r="D62" s="634"/>
      <c r="E62" s="634"/>
      <c r="F62" s="634"/>
      <c r="G62" s="8"/>
      <c r="H62" s="635"/>
      <c r="I62" s="8"/>
      <c r="J62" s="8"/>
      <c r="K62" s="8"/>
      <c r="L62" s="8"/>
      <c r="M62" s="8"/>
      <c r="N62" s="8"/>
      <c r="O62" s="8"/>
      <c r="P62" s="8"/>
      <c r="Q62" s="8"/>
      <c r="R62" s="8"/>
      <c r="S62" s="8"/>
      <c r="T62" s="8"/>
      <c r="U62" s="8"/>
      <c r="V62" s="8"/>
      <c r="W62" s="8"/>
      <c r="X62" s="8"/>
      <c r="Y62" s="8"/>
    </row>
    <row r="63" spans="1:27" ht="17.25" customHeight="1" thickBot="1" x14ac:dyDescent="0.3">
      <c r="A63" s="792" t="s">
        <v>763</v>
      </c>
      <c r="B63" s="1021" t="s">
        <v>133</v>
      </c>
      <c r="C63" s="1022"/>
      <c r="D63" s="1022"/>
      <c r="E63" s="1022"/>
      <c r="F63" s="1022"/>
      <c r="G63" s="1022"/>
      <c r="H63" s="1022"/>
      <c r="I63" s="1022"/>
      <c r="J63" s="1022"/>
      <c r="K63" s="1022"/>
      <c r="L63" s="1022"/>
      <c r="M63" s="1022"/>
      <c r="N63" s="1022"/>
      <c r="O63" s="1022"/>
      <c r="P63" s="1022"/>
      <c r="Q63" s="1022"/>
      <c r="R63" s="1022"/>
      <c r="S63" s="1022"/>
      <c r="T63" s="1022"/>
      <c r="U63" s="1022"/>
      <c r="V63" s="633"/>
      <c r="W63" s="633"/>
      <c r="X63" s="58"/>
      <c r="Y63" s="8"/>
    </row>
    <row r="64" spans="1:27" ht="27.75" customHeight="1" x14ac:dyDescent="0.25">
      <c r="A64" s="35"/>
      <c r="B64" s="25" t="s">
        <v>418</v>
      </c>
      <c r="C64" s="1019" t="s">
        <v>419</v>
      </c>
      <c r="D64" s="636"/>
      <c r="E64" s="36"/>
      <c r="F64" s="36"/>
      <c r="G64" s="1013" t="s">
        <v>224</v>
      </c>
      <c r="H64" s="1023" t="s">
        <v>229</v>
      </c>
      <c r="I64" s="36"/>
      <c r="J64" s="36"/>
      <c r="K64" s="36"/>
      <c r="L64" s="1013" t="s">
        <v>224</v>
      </c>
      <c r="M64" s="1023" t="s">
        <v>229</v>
      </c>
      <c r="N64" s="36"/>
      <c r="O64" s="36"/>
      <c r="P64" s="36"/>
      <c r="Q64" s="1013" t="s">
        <v>224</v>
      </c>
      <c r="R64" s="1015" t="s">
        <v>229</v>
      </c>
      <c r="S64" s="36"/>
      <c r="T64" s="36"/>
      <c r="U64" s="37"/>
      <c r="V64" s="1013" t="s">
        <v>224</v>
      </c>
      <c r="W64" s="1015" t="s">
        <v>229</v>
      </c>
      <c r="X64" s="1017" t="s">
        <v>699</v>
      </c>
      <c r="Y64" s="1019" t="s">
        <v>135</v>
      </c>
    </row>
    <row r="65" spans="1:25" ht="15" customHeight="1" thickBot="1" x14ac:dyDescent="0.3">
      <c r="A65" s="632" t="s">
        <v>55</v>
      </c>
      <c r="B65" s="26" t="s">
        <v>420</v>
      </c>
      <c r="C65" s="1020"/>
      <c r="D65" s="38">
        <v>44378</v>
      </c>
      <c r="E65" s="38">
        <v>44409</v>
      </c>
      <c r="F65" s="38">
        <v>44440</v>
      </c>
      <c r="G65" s="1014"/>
      <c r="H65" s="1024"/>
      <c r="I65" s="39">
        <v>44470</v>
      </c>
      <c r="J65" s="39">
        <v>44501</v>
      </c>
      <c r="K65" s="39">
        <v>44531</v>
      </c>
      <c r="L65" s="1014"/>
      <c r="M65" s="1024"/>
      <c r="N65" s="39">
        <v>44562</v>
      </c>
      <c r="O65" s="39">
        <v>44593</v>
      </c>
      <c r="P65" s="39">
        <v>44621</v>
      </c>
      <c r="Q65" s="1014"/>
      <c r="R65" s="1016"/>
      <c r="S65" s="39">
        <v>44652</v>
      </c>
      <c r="T65" s="39">
        <v>44682</v>
      </c>
      <c r="U65" s="39">
        <v>44713</v>
      </c>
      <c r="V65" s="1014"/>
      <c r="W65" s="1016"/>
      <c r="X65" s="1018"/>
      <c r="Y65" s="1020"/>
    </row>
    <row r="66" spans="1:25" ht="15" customHeight="1" thickBot="1" x14ac:dyDescent="0.3">
      <c r="A66" s="29" t="s">
        <v>239</v>
      </c>
      <c r="B66" s="27">
        <v>863</v>
      </c>
      <c r="C66" s="27">
        <v>829</v>
      </c>
      <c r="D66" s="72">
        <v>892.4</v>
      </c>
      <c r="E66" s="72">
        <v>912.6</v>
      </c>
      <c r="F66" s="68">
        <v>920.5</v>
      </c>
      <c r="G66" s="40">
        <f t="shared" ref="G66:G73" si="47">SUM(D66:F66)/3</f>
        <v>908.5</v>
      </c>
      <c r="H66" s="64">
        <f>G66*92</f>
        <v>83582</v>
      </c>
      <c r="I66" s="68">
        <v>929.3</v>
      </c>
      <c r="J66" s="68">
        <v>821.1</v>
      </c>
      <c r="K66" s="68">
        <v>805.5</v>
      </c>
      <c r="L66" s="40">
        <f>SUM(I66:K66)/3</f>
        <v>851.9666666666667</v>
      </c>
      <c r="M66" s="64">
        <f>L66*92</f>
        <v>78380.933333333334</v>
      </c>
      <c r="N66" s="68">
        <v>862</v>
      </c>
      <c r="O66" s="53">
        <v>894</v>
      </c>
      <c r="P66" s="68">
        <v>857.3</v>
      </c>
      <c r="Q66" s="40">
        <f>SUM(N66:P66)/3</f>
        <v>871.1</v>
      </c>
      <c r="R66" s="64">
        <f>Q66*90</f>
        <v>78399</v>
      </c>
      <c r="S66" s="68">
        <v>863</v>
      </c>
      <c r="T66" s="53">
        <v>881</v>
      </c>
      <c r="U66" s="74">
        <v>897</v>
      </c>
      <c r="V66" s="40">
        <f>SUM(S66:U66)/3</f>
        <v>880.33333333333337</v>
      </c>
      <c r="W66" s="65">
        <f>V66*91</f>
        <v>80110.333333333343</v>
      </c>
      <c r="X66" s="41">
        <f>SUM(D66+E66+F66+I66+J66+K66+N66+O66+P66+S66+T66+U66)/12</f>
        <v>877.97500000000002</v>
      </c>
      <c r="Y66" s="42">
        <f>X66*365</f>
        <v>320460.875</v>
      </c>
    </row>
    <row r="67" spans="1:25" ht="15" customHeight="1" thickBot="1" x14ac:dyDescent="0.3">
      <c r="A67" s="30" t="s">
        <v>120</v>
      </c>
      <c r="B67" s="27">
        <v>128</v>
      </c>
      <c r="C67" s="27">
        <v>126</v>
      </c>
      <c r="D67" s="73">
        <v>145.5</v>
      </c>
      <c r="E67" s="73">
        <v>149</v>
      </c>
      <c r="F67" s="69">
        <v>136.19999999999999</v>
      </c>
      <c r="G67" s="40">
        <f t="shared" si="47"/>
        <v>143.56666666666666</v>
      </c>
      <c r="H67" s="64">
        <f>G67*92</f>
        <v>13208.133333333333</v>
      </c>
      <c r="I67" s="69">
        <v>136.4</v>
      </c>
      <c r="J67" s="69">
        <v>145.69999999999999</v>
      </c>
      <c r="K67" s="69">
        <v>141.80000000000001</v>
      </c>
      <c r="L67" s="40">
        <f>SUM(I67:K67)/3</f>
        <v>141.30000000000001</v>
      </c>
      <c r="M67" s="64">
        <f>L67*92</f>
        <v>12999.6</v>
      </c>
      <c r="N67" s="69">
        <v>139.9</v>
      </c>
      <c r="O67" s="54">
        <v>138.35</v>
      </c>
      <c r="P67" s="69">
        <v>146.30000000000001</v>
      </c>
      <c r="Q67" s="40">
        <f>SUM(N67:P67)/3</f>
        <v>141.51666666666668</v>
      </c>
      <c r="R67" s="64">
        <f t="shared" ref="R67:R79" si="48">Q67*90</f>
        <v>12736.500000000002</v>
      </c>
      <c r="S67" s="69">
        <v>143</v>
      </c>
      <c r="T67" s="54">
        <v>147</v>
      </c>
      <c r="U67" s="56">
        <v>152</v>
      </c>
      <c r="V67" s="40">
        <f>SUM(S67:U67)/3</f>
        <v>147.33333333333334</v>
      </c>
      <c r="W67" s="65">
        <f>V67*91</f>
        <v>13407.333333333334</v>
      </c>
      <c r="X67" s="41">
        <f t="shared" ref="X67:X78" si="49">SUM(D67+E67+F67+I67+J67+K67+N67+O67+P67+S67+T67+U67)/12</f>
        <v>143.42916666666665</v>
      </c>
      <c r="Y67" s="42">
        <f t="shared" ref="Y67:Y91" si="50">X67*365</f>
        <v>52351.645833333328</v>
      </c>
    </row>
    <row r="68" spans="1:25" ht="15" customHeight="1" thickBot="1" x14ac:dyDescent="0.3">
      <c r="A68" s="31" t="s">
        <v>262</v>
      </c>
      <c r="B68" s="27">
        <v>259</v>
      </c>
      <c r="C68" s="27">
        <v>248</v>
      </c>
      <c r="D68" s="4">
        <v>285.60000000000002</v>
      </c>
      <c r="E68" s="4">
        <v>286.60000000000002</v>
      </c>
      <c r="F68" s="3">
        <v>281.2</v>
      </c>
      <c r="G68" s="40">
        <f t="shared" si="47"/>
        <v>284.4666666666667</v>
      </c>
      <c r="H68" s="64">
        <f>G68*92</f>
        <v>26170.933333333334</v>
      </c>
      <c r="I68" s="3">
        <v>290.8</v>
      </c>
      <c r="J68" s="3">
        <v>280</v>
      </c>
      <c r="K68" s="3">
        <v>263.3</v>
      </c>
      <c r="L68" s="40">
        <f>SUM(I68:K68)/3</f>
        <v>278.0333333333333</v>
      </c>
      <c r="M68" s="64">
        <f>L68*92</f>
        <v>25579.066666666666</v>
      </c>
      <c r="N68" s="3">
        <v>279.8</v>
      </c>
      <c r="O68" s="55">
        <v>278.17</v>
      </c>
      <c r="P68" s="3">
        <v>280.10000000000002</v>
      </c>
      <c r="Q68" s="40">
        <f>SUM(N68:P68)/3</f>
        <v>279.35666666666668</v>
      </c>
      <c r="R68" s="64">
        <f t="shared" si="48"/>
        <v>25142.100000000002</v>
      </c>
      <c r="S68" s="3">
        <v>284</v>
      </c>
      <c r="T68" s="55">
        <v>283</v>
      </c>
      <c r="U68" s="57">
        <v>277</v>
      </c>
      <c r="V68" s="40">
        <f>SUM(S68:U68)/3</f>
        <v>281.33333333333331</v>
      </c>
      <c r="W68" s="65">
        <f>V68*91</f>
        <v>25601.333333333332</v>
      </c>
      <c r="X68" s="41">
        <f t="shared" si="49"/>
        <v>280.79749999999996</v>
      </c>
      <c r="Y68" s="42">
        <f t="shared" si="50"/>
        <v>102491.08749999998</v>
      </c>
    </row>
    <row r="69" spans="1:25" ht="15" customHeight="1" thickBot="1" x14ac:dyDescent="0.3">
      <c r="A69" s="31" t="s">
        <v>342</v>
      </c>
      <c r="B69" s="27">
        <v>1472</v>
      </c>
      <c r="C69" s="27">
        <v>1408</v>
      </c>
      <c r="D69" s="4">
        <v>1364.5</v>
      </c>
      <c r="E69" s="4">
        <v>1367.2</v>
      </c>
      <c r="F69" s="3">
        <v>1327.2</v>
      </c>
      <c r="G69" s="40">
        <f t="shared" si="47"/>
        <v>1352.9666666666665</v>
      </c>
      <c r="H69" s="64">
        <f>G69*92</f>
        <v>124472.93333333332</v>
      </c>
      <c r="I69" s="3">
        <v>1279.5</v>
      </c>
      <c r="J69" s="3">
        <v>1370.7</v>
      </c>
      <c r="K69" s="3">
        <v>1360.3</v>
      </c>
      <c r="L69" s="40">
        <f>SUM(I69:K69)/3</f>
        <v>1336.8333333333333</v>
      </c>
      <c r="M69" s="64">
        <f>L69*92</f>
        <v>122988.66666666666</v>
      </c>
      <c r="N69" s="3">
        <v>1355.58</v>
      </c>
      <c r="O69" s="55">
        <v>1339.17</v>
      </c>
      <c r="P69" s="3">
        <v>1319.48</v>
      </c>
      <c r="Q69" s="40">
        <f>SUM(N69:P69)/3</f>
        <v>1338.0766666666666</v>
      </c>
      <c r="R69" s="64">
        <f t="shared" si="48"/>
        <v>120426.9</v>
      </c>
      <c r="S69" s="3">
        <v>1317</v>
      </c>
      <c r="T69" s="55">
        <v>1243</v>
      </c>
      <c r="U69" s="57">
        <v>1289</v>
      </c>
      <c r="V69" s="40">
        <f>SUM(S69:U69)/3</f>
        <v>1283</v>
      </c>
      <c r="W69" s="65">
        <f>V69*91</f>
        <v>116753</v>
      </c>
      <c r="X69" s="41">
        <f t="shared" si="49"/>
        <v>1327.7191666666665</v>
      </c>
      <c r="Y69" s="42">
        <f t="shared" si="50"/>
        <v>484617.49583333329</v>
      </c>
    </row>
    <row r="70" spans="1:25" ht="15" customHeight="1" thickBot="1" x14ac:dyDescent="0.3">
      <c r="A70" s="32" t="s">
        <v>227</v>
      </c>
      <c r="B70" s="27">
        <v>404</v>
      </c>
      <c r="C70" s="27">
        <v>395</v>
      </c>
      <c r="D70" s="4">
        <v>340.8</v>
      </c>
      <c r="E70" s="4">
        <v>332.2</v>
      </c>
      <c r="F70" s="3">
        <v>325.60000000000002</v>
      </c>
      <c r="G70" s="40">
        <f t="shared" si="47"/>
        <v>332.86666666666667</v>
      </c>
      <c r="H70" s="64">
        <f t="shared" ref="H70:H79" si="51">G70*92</f>
        <v>30623.733333333334</v>
      </c>
      <c r="I70" s="3">
        <v>311.8</v>
      </c>
      <c r="J70" s="3">
        <v>315</v>
      </c>
      <c r="K70" s="3">
        <v>317.5</v>
      </c>
      <c r="L70" s="40">
        <f t="shared" ref="L70:L80" si="52">SUM(I70:K70)/3</f>
        <v>314.76666666666665</v>
      </c>
      <c r="M70" s="64">
        <f t="shared" ref="M70:M80" si="53">L70*92</f>
        <v>28958.533333333333</v>
      </c>
      <c r="N70" s="3">
        <v>329.61</v>
      </c>
      <c r="O70" s="55">
        <v>320.20999999999998</v>
      </c>
      <c r="P70" s="3">
        <v>295.89999999999998</v>
      </c>
      <c r="Q70" s="40">
        <f t="shared" ref="Q70:Q80" si="54">SUM(N70:P70)/3</f>
        <v>315.23999999999995</v>
      </c>
      <c r="R70" s="64">
        <f t="shared" si="48"/>
        <v>28371.599999999995</v>
      </c>
      <c r="S70" s="3">
        <v>301</v>
      </c>
      <c r="T70" s="55">
        <v>305</v>
      </c>
      <c r="U70" s="57">
        <v>320</v>
      </c>
      <c r="V70" s="40">
        <f t="shared" ref="V70:V80" si="55">SUM(S70:U70)/3</f>
        <v>308.66666666666669</v>
      </c>
      <c r="W70" s="65">
        <f t="shared" ref="W70:W80" si="56">V70*91</f>
        <v>28088.666666666668</v>
      </c>
      <c r="X70" s="41">
        <f t="shared" si="49"/>
        <v>317.88500000000005</v>
      </c>
      <c r="Y70" s="42">
        <f t="shared" si="50"/>
        <v>116028.02500000002</v>
      </c>
    </row>
    <row r="71" spans="1:25" ht="15" customHeight="1" thickBot="1" x14ac:dyDescent="0.3">
      <c r="A71" s="31" t="s">
        <v>15</v>
      </c>
      <c r="B71" s="27">
        <v>58</v>
      </c>
      <c r="C71" s="27">
        <v>52</v>
      </c>
      <c r="D71" s="4">
        <v>56.3</v>
      </c>
      <c r="E71" s="4">
        <v>51.3</v>
      </c>
      <c r="F71" s="3">
        <v>47.4</v>
      </c>
      <c r="G71" s="40">
        <f t="shared" si="47"/>
        <v>51.666666666666664</v>
      </c>
      <c r="H71" s="64">
        <f t="shared" si="51"/>
        <v>4753.333333333333</v>
      </c>
      <c r="I71" s="3">
        <v>46.7</v>
      </c>
      <c r="J71" s="3">
        <v>42.1</v>
      </c>
      <c r="K71" s="3">
        <v>47.6</v>
      </c>
      <c r="L71" s="40">
        <f t="shared" si="52"/>
        <v>45.466666666666669</v>
      </c>
      <c r="M71" s="64">
        <f t="shared" si="53"/>
        <v>4182.9333333333334</v>
      </c>
      <c r="N71" s="3">
        <v>48.67</v>
      </c>
      <c r="O71" s="55">
        <v>54.78</v>
      </c>
      <c r="P71" s="3">
        <v>59.65</v>
      </c>
      <c r="Q71" s="40">
        <f t="shared" si="54"/>
        <v>54.366666666666667</v>
      </c>
      <c r="R71" s="64">
        <f t="shared" si="48"/>
        <v>4893</v>
      </c>
      <c r="S71" s="3">
        <v>53</v>
      </c>
      <c r="T71" s="55">
        <v>56</v>
      </c>
      <c r="U71" s="57">
        <v>63</v>
      </c>
      <c r="V71" s="40">
        <f t="shared" si="55"/>
        <v>57.333333333333336</v>
      </c>
      <c r="W71" s="65">
        <f t="shared" si="56"/>
        <v>5217.3333333333339</v>
      </c>
      <c r="X71" s="41">
        <f t="shared" si="49"/>
        <v>52.208333333333336</v>
      </c>
      <c r="Y71" s="42">
        <f t="shared" si="50"/>
        <v>19056.041666666668</v>
      </c>
    </row>
    <row r="72" spans="1:25" ht="15" customHeight="1" thickBot="1" x14ac:dyDescent="0.3">
      <c r="A72" s="31" t="s">
        <v>16</v>
      </c>
      <c r="B72" s="27">
        <v>232</v>
      </c>
      <c r="C72" s="27">
        <v>226</v>
      </c>
      <c r="D72" s="4">
        <v>218.2</v>
      </c>
      <c r="E72" s="4">
        <v>225.1</v>
      </c>
      <c r="F72" s="3">
        <v>229.8</v>
      </c>
      <c r="G72" s="40">
        <f t="shared" si="47"/>
        <v>224.36666666666665</v>
      </c>
      <c r="H72" s="64">
        <f t="shared" si="51"/>
        <v>20641.73333333333</v>
      </c>
      <c r="I72" s="3">
        <v>208.5</v>
      </c>
      <c r="J72" s="3">
        <v>202.6</v>
      </c>
      <c r="K72" s="3">
        <v>207.5</v>
      </c>
      <c r="L72" s="40">
        <f t="shared" si="52"/>
        <v>206.20000000000002</v>
      </c>
      <c r="M72" s="64">
        <f t="shared" si="53"/>
        <v>18970.400000000001</v>
      </c>
      <c r="N72" s="3">
        <v>208.54</v>
      </c>
      <c r="O72" s="55">
        <v>204.5</v>
      </c>
      <c r="P72" s="3">
        <v>211.7</v>
      </c>
      <c r="Q72" s="40">
        <f t="shared" si="54"/>
        <v>208.24666666666667</v>
      </c>
      <c r="R72" s="64">
        <f t="shared" si="48"/>
        <v>18742.2</v>
      </c>
      <c r="S72" s="3">
        <v>209</v>
      </c>
      <c r="T72" s="55">
        <v>213</v>
      </c>
      <c r="U72" s="57">
        <v>213</v>
      </c>
      <c r="V72" s="40">
        <f t="shared" si="55"/>
        <v>211.66666666666666</v>
      </c>
      <c r="W72" s="65">
        <f t="shared" si="56"/>
        <v>19261.666666666664</v>
      </c>
      <c r="X72" s="41">
        <f t="shared" si="49"/>
        <v>212.61999999999998</v>
      </c>
      <c r="Y72" s="42">
        <f t="shared" si="50"/>
        <v>77606.299999999988</v>
      </c>
    </row>
    <row r="73" spans="1:25" ht="15" customHeight="1" thickBot="1" x14ac:dyDescent="0.3">
      <c r="A73" s="31" t="s">
        <v>121</v>
      </c>
      <c r="B73" s="27">
        <v>102</v>
      </c>
      <c r="C73" s="27">
        <v>98</v>
      </c>
      <c r="D73" s="4">
        <v>92.5</v>
      </c>
      <c r="E73" s="4">
        <v>85.2</v>
      </c>
      <c r="F73" s="3">
        <v>93.3</v>
      </c>
      <c r="G73" s="40">
        <f t="shared" si="47"/>
        <v>90.333333333333329</v>
      </c>
      <c r="H73" s="64">
        <f t="shared" si="51"/>
        <v>8310.6666666666661</v>
      </c>
      <c r="I73" s="3">
        <v>97.1</v>
      </c>
      <c r="J73" s="3">
        <v>91.9</v>
      </c>
      <c r="K73" s="3">
        <v>94.6</v>
      </c>
      <c r="L73" s="40">
        <f t="shared" si="52"/>
        <v>94.533333333333346</v>
      </c>
      <c r="M73" s="64">
        <f t="shared" si="53"/>
        <v>8697.0666666666675</v>
      </c>
      <c r="N73" s="3">
        <v>96.9</v>
      </c>
      <c r="O73" s="55">
        <v>95.39</v>
      </c>
      <c r="P73" s="3">
        <v>84.55</v>
      </c>
      <c r="Q73" s="40">
        <f t="shared" si="54"/>
        <v>92.280000000000015</v>
      </c>
      <c r="R73" s="64">
        <f t="shared" si="48"/>
        <v>8305.2000000000007</v>
      </c>
      <c r="S73" s="3">
        <v>83</v>
      </c>
      <c r="T73" s="55">
        <v>84</v>
      </c>
      <c r="U73" s="57">
        <v>95</v>
      </c>
      <c r="V73" s="40">
        <f t="shared" si="55"/>
        <v>87.333333333333329</v>
      </c>
      <c r="W73" s="65">
        <f t="shared" si="56"/>
        <v>7947.333333333333</v>
      </c>
      <c r="X73" s="41">
        <f t="shared" si="49"/>
        <v>91.12</v>
      </c>
      <c r="Y73" s="42">
        <f t="shared" si="50"/>
        <v>33258.800000000003</v>
      </c>
    </row>
    <row r="74" spans="1:25" ht="15" customHeight="1" thickBot="1" x14ac:dyDescent="0.3">
      <c r="A74" s="32" t="s">
        <v>228</v>
      </c>
      <c r="B74" s="27">
        <v>116</v>
      </c>
      <c r="C74" s="27">
        <v>116</v>
      </c>
      <c r="D74" s="608">
        <v>0</v>
      </c>
      <c r="E74" s="608">
        <v>0</v>
      </c>
      <c r="F74" s="3">
        <v>102.4</v>
      </c>
      <c r="G74" s="40">
        <f t="shared" ref="G74:G75" si="57">SUM(D74:F74)/3</f>
        <v>34.133333333333333</v>
      </c>
      <c r="H74" s="64">
        <f t="shared" si="51"/>
        <v>3140.2666666666664</v>
      </c>
      <c r="I74" s="3">
        <v>115.5</v>
      </c>
      <c r="J74" s="3">
        <v>115</v>
      </c>
      <c r="K74" s="3">
        <v>115</v>
      </c>
      <c r="L74" s="40">
        <f t="shared" si="52"/>
        <v>115.16666666666667</v>
      </c>
      <c r="M74" s="64">
        <f t="shared" si="53"/>
        <v>10595.333333333334</v>
      </c>
      <c r="N74" s="3">
        <v>114.45</v>
      </c>
      <c r="O74" s="55">
        <v>114</v>
      </c>
      <c r="P74" s="3">
        <v>133.30000000000001</v>
      </c>
      <c r="Q74" s="40">
        <f t="shared" si="54"/>
        <v>120.58333333333333</v>
      </c>
      <c r="R74" s="64">
        <f t="shared" si="48"/>
        <v>10852.5</v>
      </c>
      <c r="S74" s="3">
        <v>167</v>
      </c>
      <c r="T74" s="55">
        <v>293</v>
      </c>
      <c r="U74" s="57">
        <v>302</v>
      </c>
      <c r="V74" s="40">
        <f t="shared" si="55"/>
        <v>254</v>
      </c>
      <c r="W74" s="65">
        <f t="shared" si="56"/>
        <v>23114</v>
      </c>
      <c r="X74" s="41">
        <f t="shared" si="49"/>
        <v>130.97083333333333</v>
      </c>
      <c r="Y74" s="42">
        <f t="shared" si="50"/>
        <v>47804.354166666664</v>
      </c>
    </row>
    <row r="75" spans="1:25" ht="15" customHeight="1" thickBot="1" x14ac:dyDescent="0.3">
      <c r="A75" s="31" t="s">
        <v>129</v>
      </c>
      <c r="B75" s="27">
        <v>128</v>
      </c>
      <c r="C75" s="27">
        <v>128</v>
      </c>
      <c r="D75" s="4">
        <v>91</v>
      </c>
      <c r="E75" s="4">
        <v>95.1</v>
      </c>
      <c r="F75" s="4">
        <v>87.1</v>
      </c>
      <c r="G75" s="40">
        <f t="shared" si="57"/>
        <v>91.066666666666663</v>
      </c>
      <c r="H75" s="64">
        <f t="shared" si="51"/>
        <v>8378.1333333333332</v>
      </c>
      <c r="I75" s="3">
        <v>82</v>
      </c>
      <c r="J75" s="4">
        <v>82.4</v>
      </c>
      <c r="K75" s="4">
        <v>76.7</v>
      </c>
      <c r="L75" s="40">
        <f t="shared" si="52"/>
        <v>80.366666666666674</v>
      </c>
      <c r="M75" s="64">
        <f t="shared" si="53"/>
        <v>7393.7333333333336</v>
      </c>
      <c r="N75" s="4">
        <v>79.739999999999995</v>
      </c>
      <c r="O75" s="4">
        <v>72.709999999999994</v>
      </c>
      <c r="P75" s="4">
        <v>62.96</v>
      </c>
      <c r="Q75" s="40">
        <f t="shared" si="54"/>
        <v>71.803333333333327</v>
      </c>
      <c r="R75" s="64">
        <f t="shared" si="48"/>
        <v>6462.2999999999993</v>
      </c>
      <c r="S75" s="4">
        <v>64</v>
      </c>
      <c r="T75" s="4">
        <v>64</v>
      </c>
      <c r="U75" s="4">
        <v>60</v>
      </c>
      <c r="V75" s="40">
        <f t="shared" si="55"/>
        <v>62.666666666666664</v>
      </c>
      <c r="W75" s="65">
        <f t="shared" si="56"/>
        <v>5702.6666666666661</v>
      </c>
      <c r="X75" s="41">
        <f t="shared" si="49"/>
        <v>76.475833333333341</v>
      </c>
      <c r="Y75" s="42">
        <f t="shared" si="50"/>
        <v>27913.679166666669</v>
      </c>
    </row>
    <row r="76" spans="1:25" ht="15" customHeight="1" thickBot="1" x14ac:dyDescent="0.3">
      <c r="A76" s="30" t="s">
        <v>19</v>
      </c>
      <c r="B76" s="27">
        <v>551</v>
      </c>
      <c r="C76" s="27">
        <v>535</v>
      </c>
      <c r="D76" s="73">
        <v>504</v>
      </c>
      <c r="E76" s="73">
        <v>498.9</v>
      </c>
      <c r="F76" s="69">
        <v>482.6</v>
      </c>
      <c r="G76" s="40">
        <f>SUM(D76:F76)/3</f>
        <v>495.16666666666669</v>
      </c>
      <c r="H76" s="64">
        <f t="shared" si="51"/>
        <v>45555.333333333336</v>
      </c>
      <c r="I76" s="69">
        <v>472.8</v>
      </c>
      <c r="J76" s="3">
        <v>524.20000000000005</v>
      </c>
      <c r="K76" s="69">
        <v>516.4</v>
      </c>
      <c r="L76" s="40">
        <f t="shared" si="52"/>
        <v>504.4666666666667</v>
      </c>
      <c r="M76" s="65">
        <f t="shared" si="53"/>
        <v>46410.933333333334</v>
      </c>
      <c r="N76" s="3">
        <v>509.93</v>
      </c>
      <c r="O76" s="54">
        <v>500.82</v>
      </c>
      <c r="P76" s="3">
        <v>499.4</v>
      </c>
      <c r="Q76" s="40">
        <f t="shared" si="54"/>
        <v>503.38333333333338</v>
      </c>
      <c r="R76" s="64">
        <f t="shared" si="48"/>
        <v>45304.500000000007</v>
      </c>
      <c r="S76" s="3">
        <v>493</v>
      </c>
      <c r="T76" s="54">
        <v>369</v>
      </c>
      <c r="U76" s="56">
        <v>335</v>
      </c>
      <c r="V76" s="40">
        <f t="shared" si="55"/>
        <v>399</v>
      </c>
      <c r="W76" s="65">
        <f t="shared" si="56"/>
        <v>36309</v>
      </c>
      <c r="X76" s="41">
        <f t="shared" si="49"/>
        <v>475.50416666666666</v>
      </c>
      <c r="Y76" s="42">
        <f t="shared" si="50"/>
        <v>173559.02083333334</v>
      </c>
    </row>
    <row r="77" spans="1:25" ht="15" customHeight="1" thickBot="1" x14ac:dyDescent="0.3">
      <c r="A77" s="32" t="s">
        <v>340</v>
      </c>
      <c r="B77" s="27">
        <f>360+116</f>
        <v>476</v>
      </c>
      <c r="C77" s="27">
        <f>354+111</f>
        <v>465</v>
      </c>
      <c r="D77" s="4">
        <f>311.5+130.5</f>
        <v>442</v>
      </c>
      <c r="E77" s="4">
        <f>325.5+108.6</f>
        <v>434.1</v>
      </c>
      <c r="F77" s="3">
        <f>323.4+110.3</f>
        <v>433.7</v>
      </c>
      <c r="G77" s="40">
        <f>SUM(D77:F77)/3</f>
        <v>436.59999999999997</v>
      </c>
      <c r="H77" s="64">
        <f t="shared" si="51"/>
        <v>40167.199999999997</v>
      </c>
      <c r="I77" s="3">
        <f>308.5+125</f>
        <v>433.5</v>
      </c>
      <c r="J77" s="3">
        <f>299.5+120.7</f>
        <v>420.2</v>
      </c>
      <c r="K77" s="3">
        <f>301.5+124</f>
        <v>425.5</v>
      </c>
      <c r="L77" s="40">
        <f t="shared" si="52"/>
        <v>426.40000000000003</v>
      </c>
      <c r="M77" s="64">
        <f t="shared" si="53"/>
        <v>39228.800000000003</v>
      </c>
      <c r="N77" s="3">
        <f>127.48+300.48</f>
        <v>427.96000000000004</v>
      </c>
      <c r="O77" s="55">
        <f>126.14+301.35</f>
        <v>427.49</v>
      </c>
      <c r="P77" s="3">
        <f>303.06+112.84</f>
        <v>415.9</v>
      </c>
      <c r="Q77" s="40">
        <f t="shared" si="54"/>
        <v>423.7833333333333</v>
      </c>
      <c r="R77" s="64">
        <f t="shared" si="48"/>
        <v>38140.5</v>
      </c>
      <c r="S77" s="3">
        <f>302+112</f>
        <v>414</v>
      </c>
      <c r="T77" s="55">
        <f>337+126</f>
        <v>463</v>
      </c>
      <c r="U77" s="57">
        <f>343+118.9</f>
        <v>461.9</v>
      </c>
      <c r="V77" s="40">
        <f t="shared" si="55"/>
        <v>446.3</v>
      </c>
      <c r="W77" s="65">
        <f t="shared" si="56"/>
        <v>40613.300000000003</v>
      </c>
      <c r="X77" s="41">
        <f t="shared" si="49"/>
        <v>433.27083333333331</v>
      </c>
      <c r="Y77" s="42">
        <f t="shared" si="50"/>
        <v>158143.85416666666</v>
      </c>
    </row>
    <row r="78" spans="1:25" ht="15" customHeight="1" thickBot="1" x14ac:dyDescent="0.3">
      <c r="A78" s="31" t="s">
        <v>122</v>
      </c>
      <c r="B78" s="27">
        <v>200</v>
      </c>
      <c r="C78" s="27">
        <v>189</v>
      </c>
      <c r="D78" s="4">
        <v>215.6</v>
      </c>
      <c r="E78" s="4">
        <v>209.8</v>
      </c>
      <c r="F78" s="3">
        <v>224</v>
      </c>
      <c r="G78" s="40">
        <f>SUM(D78:F78)/3</f>
        <v>216.46666666666667</v>
      </c>
      <c r="H78" s="64">
        <f t="shared" si="51"/>
        <v>19914.933333333334</v>
      </c>
      <c r="I78" s="3">
        <v>222.6</v>
      </c>
      <c r="J78" s="3">
        <v>223.5</v>
      </c>
      <c r="K78" s="3">
        <v>225.7</v>
      </c>
      <c r="L78" s="40">
        <f t="shared" si="52"/>
        <v>223.93333333333331</v>
      </c>
      <c r="M78" s="64">
        <f t="shared" si="53"/>
        <v>20601.866666666665</v>
      </c>
      <c r="N78" s="3">
        <v>223.23</v>
      </c>
      <c r="O78" s="55">
        <v>219.07</v>
      </c>
      <c r="P78" s="3">
        <v>215.5</v>
      </c>
      <c r="Q78" s="40">
        <f t="shared" si="54"/>
        <v>219.26666666666665</v>
      </c>
      <c r="R78" s="64">
        <f t="shared" si="48"/>
        <v>19734</v>
      </c>
      <c r="S78" s="3">
        <v>225</v>
      </c>
      <c r="T78" s="55">
        <v>217</v>
      </c>
      <c r="U78" s="57">
        <v>230</v>
      </c>
      <c r="V78" s="40">
        <f t="shared" si="55"/>
        <v>224</v>
      </c>
      <c r="W78" s="65">
        <f t="shared" si="56"/>
        <v>20384</v>
      </c>
      <c r="X78" s="41">
        <f t="shared" si="49"/>
        <v>220.91666666666666</v>
      </c>
      <c r="Y78" s="42">
        <f t="shared" si="50"/>
        <v>80634.583333333328</v>
      </c>
    </row>
    <row r="79" spans="1:25" ht="15" customHeight="1" thickBot="1" x14ac:dyDescent="0.3">
      <c r="A79" s="31" t="s">
        <v>123</v>
      </c>
      <c r="B79" s="21"/>
      <c r="C79" s="21"/>
      <c r="D79" s="4">
        <v>0</v>
      </c>
      <c r="E79" s="4">
        <v>0</v>
      </c>
      <c r="F79" s="4">
        <v>0</v>
      </c>
      <c r="G79" s="43">
        <f>SUM(D79:F79)/3</f>
        <v>0</v>
      </c>
      <c r="H79" s="64">
        <f t="shared" si="51"/>
        <v>0</v>
      </c>
      <c r="I79" s="4"/>
      <c r="J79" s="4"/>
      <c r="K79" s="4"/>
      <c r="L79" s="43">
        <f t="shared" si="52"/>
        <v>0</v>
      </c>
      <c r="M79" s="64">
        <f t="shared" si="53"/>
        <v>0</v>
      </c>
      <c r="N79" s="4">
        <v>0</v>
      </c>
      <c r="O79" s="4">
        <v>0</v>
      </c>
      <c r="P79" s="4">
        <v>0</v>
      </c>
      <c r="Q79" s="43">
        <f t="shared" si="54"/>
        <v>0</v>
      </c>
      <c r="R79" s="64">
        <f t="shared" si="48"/>
        <v>0</v>
      </c>
      <c r="S79" s="3" t="s">
        <v>96</v>
      </c>
      <c r="T79" s="3" t="s">
        <v>96</v>
      </c>
      <c r="U79" s="4" t="s">
        <v>96</v>
      </c>
      <c r="V79" s="43">
        <f t="shared" si="55"/>
        <v>0</v>
      </c>
      <c r="W79" s="66">
        <f t="shared" si="56"/>
        <v>0</v>
      </c>
      <c r="X79" s="41">
        <v>0</v>
      </c>
      <c r="Y79" s="42">
        <f t="shared" si="50"/>
        <v>0</v>
      </c>
    </row>
    <row r="80" spans="1:25" ht="15" customHeight="1" thickBot="1" x14ac:dyDescent="0.3">
      <c r="A80" s="442" t="s">
        <v>130</v>
      </c>
      <c r="B80" s="443"/>
      <c r="C80" s="443"/>
      <c r="D80" s="444">
        <f>SUM(D66:D79)</f>
        <v>4648.4000000000005</v>
      </c>
      <c r="E80" s="444">
        <f>SUM(E66:E79)</f>
        <v>4647.0999999999995</v>
      </c>
      <c r="F80" s="444">
        <f>SUM(F66:F79)</f>
        <v>4691.0000000000009</v>
      </c>
      <c r="G80" s="445">
        <f>SUM(D80:F80)/3</f>
        <v>4662.166666666667</v>
      </c>
      <c r="H80" s="446">
        <f>G80*92</f>
        <v>428919.33333333337</v>
      </c>
      <c r="I80" s="447">
        <f>SUM(I66:I79)</f>
        <v>4626.5</v>
      </c>
      <c r="J80" s="444">
        <f>SUM(J66:J79)</f>
        <v>4634.3999999999996</v>
      </c>
      <c r="K80" s="444">
        <f>SUM(K66:K79)</f>
        <v>4597.3999999999987</v>
      </c>
      <c r="L80" s="445">
        <f t="shared" si="52"/>
        <v>4619.4333333333334</v>
      </c>
      <c r="M80" s="448">
        <f t="shared" si="53"/>
        <v>424987.8666666667</v>
      </c>
      <c r="N80" s="449">
        <f>SUM(N66:N79)</f>
        <v>4676.3099999999995</v>
      </c>
      <c r="O80" s="444">
        <f>SUM(O66:O79)</f>
        <v>4658.66</v>
      </c>
      <c r="P80" s="444">
        <f>SUM(P66:P79)</f>
        <v>4582.04</v>
      </c>
      <c r="Q80" s="445">
        <f t="shared" si="54"/>
        <v>4639.0033333333331</v>
      </c>
      <c r="R80" s="446">
        <f>Q80*90</f>
        <v>417510.3</v>
      </c>
      <c r="S80" s="447">
        <f>SUM(S66:S79)</f>
        <v>4616</v>
      </c>
      <c r="T80" s="444">
        <f>SUM(T66:T78)</f>
        <v>4618</v>
      </c>
      <c r="U80" s="450">
        <f>SUM(U66:U79)</f>
        <v>4694.8999999999996</v>
      </c>
      <c r="V80" s="445">
        <f t="shared" si="55"/>
        <v>4642.9666666666662</v>
      </c>
      <c r="W80" s="451">
        <f t="shared" si="56"/>
        <v>422509.96666666662</v>
      </c>
      <c r="X80" s="452">
        <f>SUM(D80+E80+F80+I80+J80+K80+N80+O80+P80+S80+T80+U80)/12</f>
        <v>4640.8925000000008</v>
      </c>
      <c r="Y80" s="42">
        <f t="shared" si="50"/>
        <v>1693925.7625000004</v>
      </c>
    </row>
    <row r="81" spans="1:25" ht="15" customHeight="1" thickBot="1" x14ac:dyDescent="0.3">
      <c r="A81" s="28" t="s">
        <v>131</v>
      </c>
      <c r="B81" s="22"/>
      <c r="C81" s="22"/>
      <c r="D81" s="637"/>
      <c r="E81" s="637"/>
      <c r="F81" s="638"/>
      <c r="G81" s="62"/>
      <c r="H81" s="62"/>
      <c r="I81" s="48"/>
      <c r="J81" s="46"/>
      <c r="K81" s="47"/>
      <c r="L81" s="61"/>
      <c r="M81" s="61"/>
      <c r="N81" s="48"/>
      <c r="O81" s="46"/>
      <c r="P81" s="47"/>
      <c r="Q81" s="61"/>
      <c r="R81" s="64">
        <f>Q81*90</f>
        <v>0</v>
      </c>
      <c r="S81" s="48"/>
      <c r="T81" s="46"/>
      <c r="U81" s="47"/>
      <c r="V81" s="47"/>
      <c r="W81" s="46"/>
      <c r="X81" s="60"/>
      <c r="Y81" s="42">
        <f t="shared" si="50"/>
        <v>0</v>
      </c>
    </row>
    <row r="82" spans="1:25" ht="15" customHeight="1" thickBot="1" x14ac:dyDescent="0.3">
      <c r="A82" s="794" t="s">
        <v>124</v>
      </c>
      <c r="B82" s="795">
        <f>463+56</f>
        <v>519</v>
      </c>
      <c r="C82" s="796" t="s">
        <v>96</v>
      </c>
      <c r="D82" s="797">
        <v>292.32</v>
      </c>
      <c r="E82" s="797">
        <v>265.42</v>
      </c>
      <c r="F82" s="797">
        <v>263.89999999999998</v>
      </c>
      <c r="G82" s="798">
        <f t="shared" ref="G82:G84" si="58">SUM(D82:F82)/3</f>
        <v>273.88</v>
      </c>
      <c r="H82" s="799">
        <f t="shared" ref="H82:H90" si="59">G82*92</f>
        <v>25196.959999999999</v>
      </c>
      <c r="I82" s="797">
        <v>276.64999999999998</v>
      </c>
      <c r="J82" s="797">
        <v>261.97000000000003</v>
      </c>
      <c r="K82" s="797">
        <v>278.58</v>
      </c>
      <c r="L82" s="798">
        <f t="shared" ref="L82:L86" si="60">SUM(I82:K82)/3</f>
        <v>272.40000000000003</v>
      </c>
      <c r="M82" s="799">
        <f t="shared" ref="M82:M90" si="61">L82*92</f>
        <v>25060.800000000003</v>
      </c>
      <c r="N82" s="797">
        <v>276.95999999999998</v>
      </c>
      <c r="O82" s="800">
        <v>277</v>
      </c>
      <c r="P82" s="800">
        <v>338</v>
      </c>
      <c r="Q82" s="798">
        <f t="shared" ref="Q82:Q91" si="62">SUM(N82:P82)/3</f>
        <v>297.32</v>
      </c>
      <c r="R82" s="799">
        <f t="shared" ref="R82:R91" si="63">Q82*90</f>
        <v>26758.799999999999</v>
      </c>
      <c r="S82" s="797">
        <v>360</v>
      </c>
      <c r="T82" s="800">
        <v>359</v>
      </c>
      <c r="U82" s="801">
        <v>331</v>
      </c>
      <c r="V82" s="798">
        <f t="shared" ref="V82:V91" si="64">SUM(S82:U82)/3</f>
        <v>350</v>
      </c>
      <c r="W82" s="802">
        <f t="shared" ref="W82:W90" si="65">V82*91</f>
        <v>31850</v>
      </c>
      <c r="X82" s="803">
        <f t="shared" ref="X82:X86" si="66">SUM(D82+E82+F82+I82+J82+K82+N82+O82+P82+S82+T82+U82)/12</f>
        <v>298.40000000000003</v>
      </c>
      <c r="Y82" s="804">
        <f t="shared" si="50"/>
        <v>108916.00000000001</v>
      </c>
    </row>
    <row r="83" spans="1:25" ht="15" customHeight="1" thickBot="1" x14ac:dyDescent="0.3">
      <c r="A83" s="31" t="s">
        <v>125</v>
      </c>
      <c r="B83" s="609" t="s">
        <v>96</v>
      </c>
      <c r="C83" s="370" t="s">
        <v>96</v>
      </c>
      <c r="D83" s="5">
        <v>0</v>
      </c>
      <c r="E83" s="5">
        <v>0</v>
      </c>
      <c r="F83" s="5">
        <v>0</v>
      </c>
      <c r="G83" s="40">
        <f t="shared" si="58"/>
        <v>0</v>
      </c>
      <c r="H83" s="64">
        <f t="shared" si="59"/>
        <v>0</v>
      </c>
      <c r="I83" s="5">
        <v>0</v>
      </c>
      <c r="J83" s="5">
        <v>0</v>
      </c>
      <c r="K83" s="5">
        <v>0</v>
      </c>
      <c r="L83" s="40">
        <f t="shared" si="60"/>
        <v>0</v>
      </c>
      <c r="M83" s="64">
        <f t="shared" si="61"/>
        <v>0</v>
      </c>
      <c r="N83" s="5">
        <v>0</v>
      </c>
      <c r="O83" s="49">
        <v>0</v>
      </c>
      <c r="P83" s="49">
        <v>0</v>
      </c>
      <c r="Q83" s="40">
        <f t="shared" si="62"/>
        <v>0</v>
      </c>
      <c r="R83" s="64">
        <f t="shared" si="63"/>
        <v>0</v>
      </c>
      <c r="S83" s="5">
        <v>0</v>
      </c>
      <c r="T83" s="49">
        <v>0</v>
      </c>
      <c r="U83" s="50">
        <v>0</v>
      </c>
      <c r="V83" s="40">
        <f t="shared" si="64"/>
        <v>0</v>
      </c>
      <c r="W83" s="65">
        <f t="shared" si="65"/>
        <v>0</v>
      </c>
      <c r="X83" s="41">
        <f t="shared" si="66"/>
        <v>0</v>
      </c>
      <c r="Y83" s="42">
        <f t="shared" si="50"/>
        <v>0</v>
      </c>
    </row>
    <row r="84" spans="1:25" ht="15" customHeight="1" thickBot="1" x14ac:dyDescent="0.3">
      <c r="A84" s="31" t="s">
        <v>127</v>
      </c>
      <c r="B84" s="610">
        <v>19</v>
      </c>
      <c r="C84" s="370" t="s">
        <v>96</v>
      </c>
      <c r="D84" s="5">
        <v>19.23</v>
      </c>
      <c r="E84" s="5">
        <v>12.39</v>
      </c>
      <c r="F84" s="5">
        <v>9</v>
      </c>
      <c r="G84" s="40">
        <f t="shared" si="58"/>
        <v>13.540000000000001</v>
      </c>
      <c r="H84" s="64">
        <f t="shared" si="59"/>
        <v>1245.68</v>
      </c>
      <c r="I84" s="5">
        <v>12.81</v>
      </c>
      <c r="J84" s="5">
        <v>8.67</v>
      </c>
      <c r="K84" s="5">
        <v>6.26</v>
      </c>
      <c r="L84" s="40">
        <f t="shared" si="60"/>
        <v>9.2466666666666679</v>
      </c>
      <c r="M84" s="64">
        <f t="shared" si="61"/>
        <v>850.6933333333335</v>
      </c>
      <c r="N84" s="5">
        <v>9.93</v>
      </c>
      <c r="O84" s="49">
        <v>9.93</v>
      </c>
      <c r="P84" s="49">
        <v>17</v>
      </c>
      <c r="Q84" s="40">
        <f t="shared" si="62"/>
        <v>12.286666666666667</v>
      </c>
      <c r="R84" s="64">
        <f t="shared" si="63"/>
        <v>1105.8</v>
      </c>
      <c r="S84" s="5">
        <v>16</v>
      </c>
      <c r="T84" s="49">
        <v>17</v>
      </c>
      <c r="U84" s="50">
        <v>18</v>
      </c>
      <c r="V84" s="40">
        <f t="shared" si="64"/>
        <v>17</v>
      </c>
      <c r="W84" s="65">
        <f t="shared" si="65"/>
        <v>1547</v>
      </c>
      <c r="X84" s="41">
        <f t="shared" si="66"/>
        <v>13.018333333333336</v>
      </c>
      <c r="Y84" s="42">
        <f t="shared" si="50"/>
        <v>4751.6916666666675</v>
      </c>
    </row>
    <row r="85" spans="1:25" ht="15" customHeight="1" thickBot="1" x14ac:dyDescent="0.3">
      <c r="A85" s="31" t="s">
        <v>126</v>
      </c>
      <c r="B85" s="610" t="s">
        <v>341</v>
      </c>
      <c r="C85" s="370" t="s">
        <v>96</v>
      </c>
      <c r="D85" s="5">
        <v>187</v>
      </c>
      <c r="E85" s="5">
        <v>175</v>
      </c>
      <c r="F85" s="5">
        <v>172</v>
      </c>
      <c r="G85" s="40">
        <v>187</v>
      </c>
      <c r="H85" s="64">
        <f t="shared" si="59"/>
        <v>17204</v>
      </c>
      <c r="I85" s="5">
        <v>183</v>
      </c>
      <c r="J85" s="5">
        <v>193</v>
      </c>
      <c r="K85" s="5">
        <v>187</v>
      </c>
      <c r="L85" s="40">
        <f t="shared" si="60"/>
        <v>187.66666666666666</v>
      </c>
      <c r="M85" s="64">
        <f t="shared" si="61"/>
        <v>17265.333333333332</v>
      </c>
      <c r="N85" s="5">
        <v>183</v>
      </c>
      <c r="O85" s="49">
        <v>175</v>
      </c>
      <c r="P85" s="49">
        <v>161</v>
      </c>
      <c r="Q85" s="40">
        <f t="shared" si="62"/>
        <v>173</v>
      </c>
      <c r="R85" s="64">
        <f t="shared" si="63"/>
        <v>15570</v>
      </c>
      <c r="S85" s="5">
        <v>159</v>
      </c>
      <c r="T85" s="49">
        <v>184</v>
      </c>
      <c r="U85" s="50">
        <v>194</v>
      </c>
      <c r="V85" s="40">
        <f t="shared" si="64"/>
        <v>179</v>
      </c>
      <c r="W85" s="65">
        <f t="shared" si="65"/>
        <v>16289</v>
      </c>
      <c r="X85" s="41">
        <f>SUM(D85+E85+F85+I85+J85+K85+N85+O85+P85+S85+T85+U85)/12</f>
        <v>179.41666666666666</v>
      </c>
      <c r="Y85" s="42">
        <f t="shared" si="50"/>
        <v>65487.083333333328</v>
      </c>
    </row>
    <row r="86" spans="1:25" ht="15" customHeight="1" thickBot="1" x14ac:dyDescent="0.3">
      <c r="A86" s="639" t="s">
        <v>686</v>
      </c>
      <c r="B86" s="640" t="s">
        <v>341</v>
      </c>
      <c r="C86" s="641" t="s">
        <v>96</v>
      </c>
      <c r="D86" s="642">
        <v>0</v>
      </c>
      <c r="E86" s="642">
        <v>0</v>
      </c>
      <c r="F86" s="642">
        <v>0</v>
      </c>
      <c r="G86" s="643">
        <f t="shared" ref="G86" si="67">SUM(D86:F86)/3</f>
        <v>0</v>
      </c>
      <c r="H86" s="644">
        <f t="shared" si="59"/>
        <v>0</v>
      </c>
      <c r="I86" s="642">
        <v>0</v>
      </c>
      <c r="J86" s="642">
        <v>0</v>
      </c>
      <c r="K86" s="642">
        <v>0</v>
      </c>
      <c r="L86" s="643">
        <f t="shared" si="60"/>
        <v>0</v>
      </c>
      <c r="M86" s="644">
        <f t="shared" si="61"/>
        <v>0</v>
      </c>
      <c r="N86" s="642">
        <v>0</v>
      </c>
      <c r="O86" s="645">
        <v>0</v>
      </c>
      <c r="P86" s="645">
        <v>0</v>
      </c>
      <c r="Q86" s="643">
        <f t="shared" si="62"/>
        <v>0</v>
      </c>
      <c r="R86" s="644">
        <f t="shared" si="63"/>
        <v>0</v>
      </c>
      <c r="S86" s="642">
        <v>0</v>
      </c>
      <c r="T86" s="645">
        <v>0</v>
      </c>
      <c r="U86" s="646">
        <v>0</v>
      </c>
      <c r="V86" s="643">
        <f t="shared" si="64"/>
        <v>0</v>
      </c>
      <c r="W86" s="647">
        <f t="shared" si="65"/>
        <v>0</v>
      </c>
      <c r="X86" s="648">
        <f t="shared" si="66"/>
        <v>0</v>
      </c>
      <c r="Y86" s="42">
        <f t="shared" si="50"/>
        <v>0</v>
      </c>
    </row>
    <row r="87" spans="1:25" ht="15" customHeight="1" thickBot="1" x14ac:dyDescent="0.3">
      <c r="A87" s="639" t="s">
        <v>736</v>
      </c>
      <c r="B87" s="640" t="s">
        <v>341</v>
      </c>
      <c r="C87" s="641" t="s">
        <v>96</v>
      </c>
      <c r="D87" s="642">
        <v>1645</v>
      </c>
      <c r="E87" s="642">
        <v>1655</v>
      </c>
      <c r="F87" s="642">
        <v>1642</v>
      </c>
      <c r="G87" s="643">
        <f>SUM(D87:F87)/3</f>
        <v>1647.3333333333333</v>
      </c>
      <c r="H87" s="644">
        <f t="shared" si="59"/>
        <v>151554.66666666666</v>
      </c>
      <c r="I87" s="642">
        <v>1651</v>
      </c>
      <c r="J87" s="642">
        <v>1675</v>
      </c>
      <c r="K87" s="642">
        <v>1673</v>
      </c>
      <c r="L87" s="643">
        <f t="shared" ref="L87:L91" si="68">SUM(I87:K87)/3</f>
        <v>1666.3333333333333</v>
      </c>
      <c r="M87" s="644">
        <f t="shared" si="61"/>
        <v>153302.66666666666</v>
      </c>
      <c r="N87" s="642">
        <v>1694</v>
      </c>
      <c r="O87" s="645">
        <v>1685</v>
      </c>
      <c r="P87" s="645">
        <v>1628</v>
      </c>
      <c r="Q87" s="643">
        <f t="shared" si="62"/>
        <v>1669</v>
      </c>
      <c r="R87" s="644">
        <f t="shared" si="63"/>
        <v>150210</v>
      </c>
      <c r="S87" s="642">
        <v>1621</v>
      </c>
      <c r="T87" s="645">
        <v>1602</v>
      </c>
      <c r="U87" s="646">
        <v>1595</v>
      </c>
      <c r="V87" s="643">
        <f>SUM(S87:U87)/3</f>
        <v>1606</v>
      </c>
      <c r="W87" s="647">
        <f t="shared" si="65"/>
        <v>146146</v>
      </c>
      <c r="X87" s="648">
        <f>SUM(D87+E87+F87+I87+J87+K87+N87+O87+P87+S87+T87+U87)/12</f>
        <v>1647.1666666666667</v>
      </c>
      <c r="Y87" s="42">
        <f t="shared" si="50"/>
        <v>601215.83333333337</v>
      </c>
    </row>
    <row r="88" spans="1:25" ht="15" customHeight="1" thickBot="1" x14ac:dyDescent="0.3">
      <c r="A88" s="31" t="s">
        <v>281</v>
      </c>
      <c r="B88" s="610" t="s">
        <v>341</v>
      </c>
      <c r="C88" s="370" t="s">
        <v>96</v>
      </c>
      <c r="D88" s="5">
        <v>0</v>
      </c>
      <c r="E88" s="5">
        <v>0</v>
      </c>
      <c r="F88" s="5">
        <v>0</v>
      </c>
      <c r="G88" s="40">
        <f t="shared" ref="G88:G90" si="69">SUM(D88:F88)/3</f>
        <v>0</v>
      </c>
      <c r="H88" s="64">
        <f t="shared" si="59"/>
        <v>0</v>
      </c>
      <c r="I88" s="5">
        <v>0</v>
      </c>
      <c r="J88" s="5">
        <v>0</v>
      </c>
      <c r="K88" s="5">
        <v>0</v>
      </c>
      <c r="L88" s="40">
        <f t="shared" si="68"/>
        <v>0</v>
      </c>
      <c r="M88" s="64">
        <f t="shared" si="61"/>
        <v>0</v>
      </c>
      <c r="N88" s="5">
        <v>0</v>
      </c>
      <c r="O88" s="5">
        <v>0</v>
      </c>
      <c r="P88" s="5">
        <v>0</v>
      </c>
      <c r="Q88" s="40">
        <f t="shared" si="62"/>
        <v>0</v>
      </c>
      <c r="R88" s="64">
        <f t="shared" si="63"/>
        <v>0</v>
      </c>
      <c r="S88" s="5">
        <v>0</v>
      </c>
      <c r="T88" s="5">
        <v>0</v>
      </c>
      <c r="U88" s="5">
        <v>0</v>
      </c>
      <c r="V88" s="40">
        <f t="shared" si="64"/>
        <v>0</v>
      </c>
      <c r="W88" s="65">
        <f t="shared" si="65"/>
        <v>0</v>
      </c>
      <c r="X88" s="41">
        <v>0</v>
      </c>
      <c r="Y88" s="42">
        <f t="shared" si="50"/>
        <v>0</v>
      </c>
    </row>
    <row r="89" spans="1:25" ht="15" customHeight="1" thickBot="1" x14ac:dyDescent="0.3">
      <c r="A89" s="31" t="s">
        <v>128</v>
      </c>
      <c r="B89" s="610" t="s">
        <v>341</v>
      </c>
      <c r="C89" s="370" t="s">
        <v>96</v>
      </c>
      <c r="D89" s="5">
        <v>9</v>
      </c>
      <c r="E89" s="5">
        <v>9</v>
      </c>
      <c r="F89" s="5">
        <v>9</v>
      </c>
      <c r="G89" s="40">
        <f t="shared" si="69"/>
        <v>9</v>
      </c>
      <c r="H89" s="64">
        <f t="shared" si="59"/>
        <v>828</v>
      </c>
      <c r="I89" s="5">
        <v>9</v>
      </c>
      <c r="J89" s="5">
        <v>9</v>
      </c>
      <c r="K89" s="5">
        <v>9</v>
      </c>
      <c r="L89" s="40">
        <f t="shared" si="68"/>
        <v>9</v>
      </c>
      <c r="M89" s="64">
        <f t="shared" si="61"/>
        <v>828</v>
      </c>
      <c r="N89" s="5">
        <v>8</v>
      </c>
      <c r="O89" s="49">
        <v>8</v>
      </c>
      <c r="P89" s="49">
        <v>8</v>
      </c>
      <c r="Q89" s="40">
        <f t="shared" si="62"/>
        <v>8</v>
      </c>
      <c r="R89" s="64">
        <f t="shared" si="63"/>
        <v>720</v>
      </c>
      <c r="S89" s="5">
        <v>8</v>
      </c>
      <c r="T89" s="49">
        <v>8</v>
      </c>
      <c r="U89" s="50">
        <v>8</v>
      </c>
      <c r="V89" s="40">
        <f t="shared" si="64"/>
        <v>8</v>
      </c>
      <c r="W89" s="66">
        <f t="shared" si="65"/>
        <v>728</v>
      </c>
      <c r="X89" s="41">
        <f>SUM(D89+E89+F89+I89+J89+K89+N89+O89+P89+S89+T89+U89)/12</f>
        <v>8.5</v>
      </c>
      <c r="Y89" s="42">
        <f t="shared" si="50"/>
        <v>3102.5</v>
      </c>
    </row>
    <row r="90" spans="1:25" ht="15" customHeight="1" thickBot="1" x14ac:dyDescent="0.3">
      <c r="A90" s="33" t="s">
        <v>132</v>
      </c>
      <c r="B90" s="23"/>
      <c r="C90" s="23"/>
      <c r="D90" s="51">
        <f>SUM(D82:D89)</f>
        <v>2152.5500000000002</v>
      </c>
      <c r="E90" s="51">
        <f>SUM(E82:E89)</f>
        <v>2116.81</v>
      </c>
      <c r="F90" s="51">
        <f>SUM(F82:F89)</f>
        <v>2095.9</v>
      </c>
      <c r="G90" s="44">
        <f t="shared" si="69"/>
        <v>2121.7533333333336</v>
      </c>
      <c r="H90" s="64">
        <f t="shared" si="59"/>
        <v>195201.3066666667</v>
      </c>
      <c r="I90" s="59">
        <f>SUM(I82:I89)</f>
        <v>2132.46</v>
      </c>
      <c r="J90" s="51">
        <f>SUM(J82:J89)</f>
        <v>2147.64</v>
      </c>
      <c r="K90" s="51">
        <f>SUM(K82:K89)</f>
        <v>2153.84</v>
      </c>
      <c r="L90" s="44">
        <f t="shared" si="68"/>
        <v>2144.646666666667</v>
      </c>
      <c r="M90" s="70">
        <f t="shared" si="61"/>
        <v>197307.49333333338</v>
      </c>
      <c r="N90" s="59">
        <f>SUM(N82:N89)</f>
        <v>2171.89</v>
      </c>
      <c r="O90" s="51">
        <f>SUM(O82:O89)</f>
        <v>2154.9299999999998</v>
      </c>
      <c r="P90" s="51">
        <f>SUM(P82:P89)</f>
        <v>2152</v>
      </c>
      <c r="Q90" s="44">
        <f t="shared" si="62"/>
        <v>2159.6066666666666</v>
      </c>
      <c r="R90" s="64">
        <f t="shared" si="63"/>
        <v>194364.59999999998</v>
      </c>
      <c r="S90" s="59">
        <f>SUM(S82:S89)</f>
        <v>2164</v>
      </c>
      <c r="T90" s="51">
        <f>SUM(T82:T89)</f>
        <v>2170</v>
      </c>
      <c r="U90" s="52">
        <f>SUM(U82:U89)</f>
        <v>2146</v>
      </c>
      <c r="V90" s="44">
        <f t="shared" si="64"/>
        <v>2160</v>
      </c>
      <c r="W90" s="71">
        <f t="shared" si="65"/>
        <v>196560</v>
      </c>
      <c r="X90" s="45">
        <f>SUM(X82:X89)</f>
        <v>2146.501666666667</v>
      </c>
      <c r="Y90" s="42">
        <f t="shared" si="50"/>
        <v>783473.10833333351</v>
      </c>
    </row>
    <row r="91" spans="1:25" ht="15" customHeight="1" thickBot="1" x14ac:dyDescent="0.3">
      <c r="A91" s="34" t="s">
        <v>136</v>
      </c>
      <c r="B91" s="24"/>
      <c r="C91" s="24"/>
      <c r="D91" s="51">
        <f>D80+D90</f>
        <v>6800.9500000000007</v>
      </c>
      <c r="E91" s="51">
        <f>E80+E90</f>
        <v>6763.91</v>
      </c>
      <c r="F91" s="51">
        <f>F80+F90</f>
        <v>6786.9000000000015</v>
      </c>
      <c r="G91" s="51">
        <f>G80+G90</f>
        <v>6783.92</v>
      </c>
      <c r="H91" s="44">
        <f>SUM(H80+H90)</f>
        <v>624120.64000000013</v>
      </c>
      <c r="I91" s="51">
        <f>I80+I90</f>
        <v>6758.96</v>
      </c>
      <c r="J91" s="51">
        <f>J80+J90</f>
        <v>6782.0399999999991</v>
      </c>
      <c r="K91" s="51">
        <f>K80+K90</f>
        <v>6751.2399999999989</v>
      </c>
      <c r="L91" s="71">
        <f t="shared" si="68"/>
        <v>6764.079999999999</v>
      </c>
      <c r="M91" s="44">
        <f>SUM(M80+M90)</f>
        <v>622295.3600000001</v>
      </c>
      <c r="N91" s="59">
        <f>N80+N90</f>
        <v>6848.1999999999989</v>
      </c>
      <c r="O91" s="51">
        <f>O80+O90</f>
        <v>6813.59</v>
      </c>
      <c r="P91" s="51">
        <f>P80+P90</f>
        <v>6734.04</v>
      </c>
      <c r="Q91" s="63">
        <f t="shared" si="62"/>
        <v>6798.61</v>
      </c>
      <c r="R91" s="64">
        <f t="shared" si="63"/>
        <v>611874.9</v>
      </c>
      <c r="S91" s="59">
        <f>S80+S90</f>
        <v>6780</v>
      </c>
      <c r="T91" s="51">
        <f>T80+T90</f>
        <v>6788</v>
      </c>
      <c r="U91" s="52">
        <f>U80+U90</f>
        <v>6840.9</v>
      </c>
      <c r="V91" s="63">
        <f t="shared" si="64"/>
        <v>6802.9666666666672</v>
      </c>
      <c r="W91" s="44">
        <f>SUM(W80+W90)</f>
        <v>619069.96666666656</v>
      </c>
      <c r="X91" s="51">
        <f>X80+X90</f>
        <v>6787.3941666666678</v>
      </c>
      <c r="Y91" s="42">
        <f t="shared" si="50"/>
        <v>2477398.8708333336</v>
      </c>
    </row>
    <row r="92" spans="1:25" ht="15" customHeight="1" x14ac:dyDescent="0.25">
      <c r="A92" s="793"/>
      <c r="B92" s="678"/>
      <c r="C92" s="678"/>
      <c r="D92" s="679"/>
      <c r="E92" s="679"/>
      <c r="F92" s="679"/>
      <c r="G92" s="679"/>
      <c r="H92" s="680"/>
      <c r="I92" s="679"/>
      <c r="J92" s="679"/>
      <c r="K92" s="679"/>
      <c r="L92" s="681"/>
      <c r="M92" s="680"/>
      <c r="N92" s="679"/>
      <c r="O92" s="679"/>
      <c r="P92" s="679"/>
      <c r="Q92" s="682"/>
      <c r="R92" s="680"/>
      <c r="S92" s="679"/>
      <c r="T92" s="679"/>
      <c r="U92" s="679"/>
      <c r="V92" s="682"/>
      <c r="W92" s="680"/>
      <c r="X92" s="679"/>
      <c r="Y92" s="679"/>
    </row>
    <row r="93" spans="1:25" ht="15" customHeight="1" thickBot="1" x14ac:dyDescent="0.25">
      <c r="A93" s="676" t="s">
        <v>135</v>
      </c>
      <c r="B93" s="6"/>
      <c r="C93" s="6"/>
      <c r="D93" s="634"/>
      <c r="E93" s="634"/>
      <c r="F93" s="634"/>
      <c r="G93" s="8"/>
      <c r="H93" s="635"/>
      <c r="I93" s="8"/>
      <c r="J93" s="8"/>
      <c r="K93" s="8"/>
      <c r="L93" s="8"/>
      <c r="M93" s="8"/>
      <c r="N93" s="8"/>
      <c r="O93" s="8"/>
      <c r="P93" s="8"/>
      <c r="Q93" s="8"/>
      <c r="R93" s="8"/>
      <c r="S93" s="8"/>
      <c r="T93" s="8"/>
      <c r="U93" s="8"/>
      <c r="V93" s="8"/>
      <c r="W93" s="8"/>
      <c r="X93" s="8"/>
      <c r="Y93" s="8"/>
    </row>
    <row r="94" spans="1:25" ht="17.25" customHeight="1" thickBot="1" x14ac:dyDescent="0.3">
      <c r="A94" s="748" t="s">
        <v>735</v>
      </c>
      <c r="B94" s="1021" t="s">
        <v>133</v>
      </c>
      <c r="C94" s="1022"/>
      <c r="D94" s="1022"/>
      <c r="E94" s="1022"/>
      <c r="F94" s="1022"/>
      <c r="G94" s="1022"/>
      <c r="H94" s="1022"/>
      <c r="I94" s="1022"/>
      <c r="J94" s="1022"/>
      <c r="K94" s="1022"/>
      <c r="L94" s="1022"/>
      <c r="M94" s="1022"/>
      <c r="N94" s="1022"/>
      <c r="O94" s="1022"/>
      <c r="P94" s="1022"/>
      <c r="Q94" s="1022"/>
      <c r="R94" s="1022"/>
      <c r="S94" s="1022"/>
      <c r="T94" s="1022"/>
      <c r="U94" s="1022"/>
      <c r="V94" s="633"/>
      <c r="W94" s="633"/>
      <c r="X94" s="58"/>
      <c r="Y94" s="8"/>
    </row>
    <row r="95" spans="1:25" ht="15" customHeight="1" x14ac:dyDescent="0.25">
      <c r="A95" s="35"/>
      <c r="B95" s="25" t="s">
        <v>418</v>
      </c>
      <c r="C95" s="1019" t="s">
        <v>419</v>
      </c>
      <c r="D95" s="636"/>
      <c r="E95" s="36"/>
      <c r="F95" s="36"/>
      <c r="G95" s="1013" t="s">
        <v>224</v>
      </c>
      <c r="H95" s="1023" t="s">
        <v>229</v>
      </c>
      <c r="I95" s="36"/>
      <c r="J95" s="36"/>
      <c r="K95" s="36"/>
      <c r="L95" s="1013" t="s">
        <v>224</v>
      </c>
      <c r="M95" s="1023" t="s">
        <v>229</v>
      </c>
      <c r="N95" s="36"/>
      <c r="O95" s="36"/>
      <c r="P95" s="36"/>
      <c r="Q95" s="1013" t="s">
        <v>224</v>
      </c>
      <c r="R95" s="1015" t="s">
        <v>229</v>
      </c>
      <c r="S95" s="36"/>
      <c r="T95" s="36"/>
      <c r="U95" s="37"/>
      <c r="V95" s="1013" t="s">
        <v>224</v>
      </c>
      <c r="W95" s="1015" t="s">
        <v>229</v>
      </c>
      <c r="X95" s="1017" t="s">
        <v>699</v>
      </c>
      <c r="Y95" s="1019" t="s">
        <v>135</v>
      </c>
    </row>
    <row r="96" spans="1:25" ht="27.75" customHeight="1" thickBot="1" x14ac:dyDescent="0.3">
      <c r="A96" s="632" t="s">
        <v>55</v>
      </c>
      <c r="B96" s="26" t="s">
        <v>420</v>
      </c>
      <c r="C96" s="1020"/>
      <c r="D96" s="38">
        <v>44013</v>
      </c>
      <c r="E96" s="38">
        <v>44044</v>
      </c>
      <c r="F96" s="38">
        <v>44075</v>
      </c>
      <c r="G96" s="1014"/>
      <c r="H96" s="1024"/>
      <c r="I96" s="39">
        <v>44105</v>
      </c>
      <c r="J96" s="39">
        <v>44136</v>
      </c>
      <c r="K96" s="39">
        <v>44166</v>
      </c>
      <c r="L96" s="1014"/>
      <c r="M96" s="1024"/>
      <c r="N96" s="39">
        <v>44197</v>
      </c>
      <c r="O96" s="39">
        <v>44228</v>
      </c>
      <c r="P96" s="39">
        <v>44256</v>
      </c>
      <c r="Q96" s="1014"/>
      <c r="R96" s="1016"/>
      <c r="S96" s="39">
        <v>44287</v>
      </c>
      <c r="T96" s="39">
        <v>44317</v>
      </c>
      <c r="U96" s="39">
        <v>44348</v>
      </c>
      <c r="V96" s="1014"/>
      <c r="W96" s="1016"/>
      <c r="X96" s="1018"/>
      <c r="Y96" s="1020"/>
    </row>
    <row r="97" spans="1:27" ht="18.75" customHeight="1" thickBot="1" x14ac:dyDescent="0.3">
      <c r="A97" s="29" t="s">
        <v>239</v>
      </c>
      <c r="B97" s="27">
        <v>863</v>
      </c>
      <c r="C97" s="27">
        <v>829</v>
      </c>
      <c r="D97" s="72">
        <v>811</v>
      </c>
      <c r="E97" s="72">
        <v>835.5</v>
      </c>
      <c r="F97" s="68">
        <v>881.3</v>
      </c>
      <c r="G97" s="40">
        <f t="shared" ref="G97:G104" si="70">SUM(D97:F97)/3</f>
        <v>842.6</v>
      </c>
      <c r="H97" s="64">
        <f>G97*92</f>
        <v>77519.199999999997</v>
      </c>
      <c r="I97" s="68">
        <v>873.4</v>
      </c>
      <c r="J97" s="68">
        <v>934.9</v>
      </c>
      <c r="K97" s="68">
        <v>970.1</v>
      </c>
      <c r="L97" s="40">
        <f>SUM(I97:K97)/3</f>
        <v>926.13333333333333</v>
      </c>
      <c r="M97" s="64">
        <f>L97*92</f>
        <v>85204.266666666663</v>
      </c>
      <c r="N97" s="68">
        <v>914.8</v>
      </c>
      <c r="O97" s="53">
        <v>874.2</v>
      </c>
      <c r="P97" s="68">
        <v>911.2</v>
      </c>
      <c r="Q97" s="40">
        <f>SUM(N97:P97)/3</f>
        <v>900.06666666666661</v>
      </c>
      <c r="R97" s="64">
        <f>Q97*90</f>
        <v>81006</v>
      </c>
      <c r="S97" s="68">
        <v>901.3</v>
      </c>
      <c r="T97" s="53">
        <v>873.2</v>
      </c>
      <c r="U97" s="74">
        <v>881.5</v>
      </c>
      <c r="V97" s="40">
        <f>SUM(S97:U97)/3</f>
        <v>885.33333333333337</v>
      </c>
      <c r="W97" s="65">
        <f>V97*91</f>
        <v>80565.333333333343</v>
      </c>
      <c r="X97" s="41">
        <f>SUM(D97+E97+F97+I97+J97+K97+N97+O97+P97+S97+T97+U97)/12</f>
        <v>888.53333333333342</v>
      </c>
      <c r="Y97" s="42">
        <f>X97*365</f>
        <v>324314.66666666669</v>
      </c>
    </row>
    <row r="98" spans="1:27" ht="15" customHeight="1" thickBot="1" x14ac:dyDescent="0.3">
      <c r="A98" s="30" t="s">
        <v>120</v>
      </c>
      <c r="B98" s="27">
        <v>128</v>
      </c>
      <c r="C98" s="27">
        <v>126</v>
      </c>
      <c r="D98" s="73">
        <v>142.69999999999999</v>
      </c>
      <c r="E98" s="73">
        <v>136.80000000000001</v>
      </c>
      <c r="F98" s="69">
        <v>144</v>
      </c>
      <c r="G98" s="40">
        <f t="shared" si="70"/>
        <v>141.16666666666666</v>
      </c>
      <c r="H98" s="64">
        <f>G98*92</f>
        <v>12987.333333333332</v>
      </c>
      <c r="I98" s="69">
        <v>142.4</v>
      </c>
      <c r="J98" s="69">
        <v>153</v>
      </c>
      <c r="K98" s="69">
        <v>131.69999999999999</v>
      </c>
      <c r="L98" s="40">
        <f>SUM(I98:K98)/3</f>
        <v>142.36666666666665</v>
      </c>
      <c r="M98" s="64">
        <f>L98*92</f>
        <v>13097.733333333332</v>
      </c>
      <c r="N98" s="69">
        <v>132.6</v>
      </c>
      <c r="O98" s="54">
        <v>136.1</v>
      </c>
      <c r="P98" s="69">
        <v>127.3</v>
      </c>
      <c r="Q98" s="40">
        <f>SUM(N98:P98)/3</f>
        <v>132</v>
      </c>
      <c r="R98" s="64">
        <f t="shared" ref="R98:R110" si="71">Q98*90</f>
        <v>11880</v>
      </c>
      <c r="S98" s="69">
        <v>131.9</v>
      </c>
      <c r="T98" s="54">
        <v>141.5</v>
      </c>
      <c r="U98" s="56">
        <v>137</v>
      </c>
      <c r="V98" s="40">
        <f>SUM(S98:U98)/3</f>
        <v>136.79999999999998</v>
      </c>
      <c r="W98" s="65">
        <f>V98*91</f>
        <v>12448.8</v>
      </c>
      <c r="X98" s="41">
        <f t="shared" ref="X98:X109" si="72">SUM(D98+E98+F98+I98+J98+K98+N98+O98+P98+S98+T98+U98)/12</f>
        <v>138.08333333333334</v>
      </c>
      <c r="Y98" s="42">
        <f t="shared" ref="Y98:Y122" si="73">X98*365</f>
        <v>50400.416666666672</v>
      </c>
    </row>
    <row r="99" spans="1:27" ht="15" customHeight="1" thickBot="1" x14ac:dyDescent="0.3">
      <c r="A99" s="31" t="s">
        <v>262</v>
      </c>
      <c r="B99" s="27">
        <v>259</v>
      </c>
      <c r="C99" s="27">
        <v>248</v>
      </c>
      <c r="D99" s="4">
        <v>259.5</v>
      </c>
      <c r="E99" s="4">
        <v>270.89999999999998</v>
      </c>
      <c r="F99" s="3">
        <v>279.89999999999998</v>
      </c>
      <c r="G99" s="40">
        <f t="shared" si="70"/>
        <v>270.09999999999997</v>
      </c>
      <c r="H99" s="64">
        <f>G99*92</f>
        <v>24849.199999999997</v>
      </c>
      <c r="I99" s="3">
        <v>283.3</v>
      </c>
      <c r="J99" s="3">
        <v>268.89999999999998</v>
      </c>
      <c r="K99" s="3">
        <v>276.3</v>
      </c>
      <c r="L99" s="40">
        <f>SUM(I99:K99)/3</f>
        <v>276.16666666666669</v>
      </c>
      <c r="M99" s="64">
        <f>L99*92</f>
        <v>25407.333333333336</v>
      </c>
      <c r="N99" s="3">
        <v>274.60000000000002</v>
      </c>
      <c r="O99" s="55">
        <v>269.8</v>
      </c>
      <c r="P99" s="3">
        <v>266</v>
      </c>
      <c r="Q99" s="40">
        <f>SUM(N99:P99)/3</f>
        <v>270.13333333333338</v>
      </c>
      <c r="R99" s="64">
        <f t="shared" si="71"/>
        <v>24312.000000000004</v>
      </c>
      <c r="S99" s="3">
        <v>274.5</v>
      </c>
      <c r="T99" s="55">
        <v>268.39999999999998</v>
      </c>
      <c r="U99" s="57">
        <v>273</v>
      </c>
      <c r="V99" s="40">
        <f>SUM(S99:U99)/3</f>
        <v>271.96666666666664</v>
      </c>
      <c r="W99" s="65">
        <f>V99*91</f>
        <v>24748.966666666664</v>
      </c>
      <c r="X99" s="41">
        <f t="shared" si="72"/>
        <v>272.0916666666667</v>
      </c>
      <c r="Y99" s="42">
        <f t="shared" si="73"/>
        <v>99313.458333333343</v>
      </c>
    </row>
    <row r="100" spans="1:27" ht="15" customHeight="1" thickBot="1" x14ac:dyDescent="0.3">
      <c r="A100" s="31" t="s">
        <v>342</v>
      </c>
      <c r="B100" s="27">
        <v>1472</v>
      </c>
      <c r="C100" s="27">
        <v>1408</v>
      </c>
      <c r="D100" s="4">
        <v>1217.3</v>
      </c>
      <c r="E100" s="4">
        <v>1220.5</v>
      </c>
      <c r="F100" s="3">
        <v>1261.9000000000001</v>
      </c>
      <c r="G100" s="40">
        <f t="shared" si="70"/>
        <v>1233.2333333333333</v>
      </c>
      <c r="H100" s="64">
        <f>G100*92</f>
        <v>113457.46666666667</v>
      </c>
      <c r="I100" s="3">
        <v>1348.5</v>
      </c>
      <c r="J100" s="3">
        <v>1303.5</v>
      </c>
      <c r="K100" s="3">
        <v>1234.5</v>
      </c>
      <c r="L100" s="40">
        <f>SUM(I100:K100)/3</f>
        <v>1295.5</v>
      </c>
      <c r="M100" s="64">
        <f>L100*92</f>
        <v>119186</v>
      </c>
      <c r="N100" s="3">
        <v>1261.7</v>
      </c>
      <c r="O100" s="55">
        <v>1248.0999999999999</v>
      </c>
      <c r="P100" s="3">
        <v>1252</v>
      </c>
      <c r="Q100" s="40">
        <f>SUM(N100:P100)/3</f>
        <v>1253.9333333333334</v>
      </c>
      <c r="R100" s="64">
        <f t="shared" si="71"/>
        <v>112854</v>
      </c>
      <c r="S100" s="3">
        <v>1305.4000000000001</v>
      </c>
      <c r="T100" s="55">
        <v>1313.2</v>
      </c>
      <c r="U100" s="57">
        <v>1330.6</v>
      </c>
      <c r="V100" s="40">
        <f>SUM(S100:U100)/3</f>
        <v>1316.4</v>
      </c>
      <c r="W100" s="65">
        <f>V100*91</f>
        <v>119792.40000000001</v>
      </c>
      <c r="X100" s="41">
        <f t="shared" si="72"/>
        <v>1274.7666666666669</v>
      </c>
      <c r="Y100" s="42">
        <f t="shared" si="73"/>
        <v>465289.83333333343</v>
      </c>
    </row>
    <row r="101" spans="1:27" ht="15" customHeight="1" thickBot="1" x14ac:dyDescent="0.3">
      <c r="A101" s="32" t="s">
        <v>227</v>
      </c>
      <c r="B101" s="27">
        <v>404</v>
      </c>
      <c r="C101" s="27">
        <v>395</v>
      </c>
      <c r="D101" s="4">
        <v>280</v>
      </c>
      <c r="E101" s="4">
        <v>301.2</v>
      </c>
      <c r="F101" s="3">
        <v>309.2</v>
      </c>
      <c r="G101" s="40">
        <f t="shared" si="70"/>
        <v>296.8</v>
      </c>
      <c r="H101" s="64">
        <f t="shared" ref="H101:H110" si="74">G101*92</f>
        <v>27305.600000000002</v>
      </c>
      <c r="I101" s="3">
        <v>304.10000000000002</v>
      </c>
      <c r="J101" s="3">
        <v>319.2</v>
      </c>
      <c r="K101" s="3">
        <v>301.8</v>
      </c>
      <c r="L101" s="40">
        <f t="shared" ref="L101:L111" si="75">SUM(I101:K101)/3</f>
        <v>308.36666666666662</v>
      </c>
      <c r="M101" s="64">
        <f t="shared" ref="M101:M111" si="76">L101*92</f>
        <v>28369.73333333333</v>
      </c>
      <c r="N101" s="3">
        <v>325.3</v>
      </c>
      <c r="O101" s="55">
        <v>320.5</v>
      </c>
      <c r="P101" s="3">
        <v>319.3</v>
      </c>
      <c r="Q101" s="40">
        <f t="shared" ref="Q101:Q111" si="77">SUM(N101:P101)/3</f>
        <v>321.7</v>
      </c>
      <c r="R101" s="64">
        <f t="shared" si="71"/>
        <v>28953</v>
      </c>
      <c r="S101" s="3">
        <v>314.8</v>
      </c>
      <c r="T101" s="55">
        <v>315.39999999999998</v>
      </c>
      <c r="U101" s="57">
        <v>322.39999999999998</v>
      </c>
      <c r="V101" s="40">
        <f t="shared" ref="V101:V111" si="78">SUM(S101:U101)/3</f>
        <v>317.53333333333336</v>
      </c>
      <c r="W101" s="65">
        <f t="shared" ref="W101:W111" si="79">V101*91</f>
        <v>28895.533333333336</v>
      </c>
      <c r="X101" s="41">
        <f t="shared" si="72"/>
        <v>311.10000000000008</v>
      </c>
      <c r="Y101" s="42">
        <f t="shared" si="73"/>
        <v>113551.50000000003</v>
      </c>
    </row>
    <row r="102" spans="1:27" ht="15" customHeight="1" thickBot="1" x14ac:dyDescent="0.3">
      <c r="A102" s="31" t="s">
        <v>15</v>
      </c>
      <c r="B102" s="27">
        <v>58</v>
      </c>
      <c r="C102" s="27">
        <v>52</v>
      </c>
      <c r="D102" s="4">
        <v>60.2</v>
      </c>
      <c r="E102" s="4">
        <v>54.9</v>
      </c>
      <c r="F102" s="3">
        <v>53.8</v>
      </c>
      <c r="G102" s="40">
        <f t="shared" si="70"/>
        <v>56.29999999999999</v>
      </c>
      <c r="H102" s="64">
        <f t="shared" si="74"/>
        <v>5179.5999999999995</v>
      </c>
      <c r="I102" s="3">
        <v>58.6</v>
      </c>
      <c r="J102" s="3">
        <v>63</v>
      </c>
      <c r="K102" s="3">
        <v>63.8</v>
      </c>
      <c r="L102" s="40">
        <f t="shared" si="75"/>
        <v>61.79999999999999</v>
      </c>
      <c r="M102" s="64">
        <f t="shared" si="76"/>
        <v>5685.5999999999995</v>
      </c>
      <c r="N102" s="3">
        <v>68.5</v>
      </c>
      <c r="O102" s="55">
        <v>65.400000000000006</v>
      </c>
      <c r="P102" s="3">
        <v>58.7</v>
      </c>
      <c r="Q102" s="40">
        <f t="shared" si="77"/>
        <v>64.2</v>
      </c>
      <c r="R102" s="64">
        <f t="shared" si="71"/>
        <v>5778</v>
      </c>
      <c r="S102" s="3">
        <v>51.8</v>
      </c>
      <c r="T102" s="55">
        <v>54.6</v>
      </c>
      <c r="U102" s="57">
        <v>57.4</v>
      </c>
      <c r="V102" s="40">
        <f t="shared" si="78"/>
        <v>54.6</v>
      </c>
      <c r="W102" s="65">
        <f t="shared" si="79"/>
        <v>4968.6000000000004</v>
      </c>
      <c r="X102" s="41">
        <f t="shared" si="72"/>
        <v>59.225000000000001</v>
      </c>
      <c r="Y102" s="42">
        <f t="shared" si="73"/>
        <v>21617.125</v>
      </c>
    </row>
    <row r="103" spans="1:27" ht="15" customHeight="1" thickBot="1" x14ac:dyDescent="0.3">
      <c r="A103" s="31" t="s">
        <v>16</v>
      </c>
      <c r="B103" s="27">
        <v>232</v>
      </c>
      <c r="C103" s="27">
        <v>226</v>
      </c>
      <c r="D103" s="4">
        <v>224.4</v>
      </c>
      <c r="E103" s="4">
        <v>228.6</v>
      </c>
      <c r="F103" s="3">
        <v>239.9</v>
      </c>
      <c r="G103" s="40">
        <f t="shared" si="70"/>
        <v>230.96666666666667</v>
      </c>
      <c r="H103" s="64">
        <f t="shared" si="74"/>
        <v>21248.933333333334</v>
      </c>
      <c r="I103" s="3">
        <v>238.3</v>
      </c>
      <c r="J103" s="3">
        <v>223.2</v>
      </c>
      <c r="K103" s="3">
        <v>219.6</v>
      </c>
      <c r="L103" s="40">
        <f t="shared" si="75"/>
        <v>227.03333333333333</v>
      </c>
      <c r="M103" s="64">
        <f t="shared" si="76"/>
        <v>20887.066666666666</v>
      </c>
      <c r="N103" s="3">
        <v>208.5</v>
      </c>
      <c r="O103" s="55">
        <v>214.8</v>
      </c>
      <c r="P103" s="3">
        <v>215.4</v>
      </c>
      <c r="Q103" s="40">
        <f t="shared" si="77"/>
        <v>212.9</v>
      </c>
      <c r="R103" s="64">
        <f t="shared" si="71"/>
        <v>19161</v>
      </c>
      <c r="S103" s="3">
        <v>214.3</v>
      </c>
      <c r="T103" s="55">
        <v>224.9</v>
      </c>
      <c r="U103" s="57">
        <v>225.2</v>
      </c>
      <c r="V103" s="40">
        <f t="shared" si="78"/>
        <v>221.4666666666667</v>
      </c>
      <c r="W103" s="65">
        <f t="shared" si="79"/>
        <v>20153.466666666671</v>
      </c>
      <c r="X103" s="41">
        <f t="shared" si="72"/>
        <v>223.09166666666667</v>
      </c>
      <c r="Y103" s="42">
        <f t="shared" si="73"/>
        <v>81428.458333333328</v>
      </c>
    </row>
    <row r="104" spans="1:27" ht="15" customHeight="1" thickBot="1" x14ac:dyDescent="0.3">
      <c r="A104" s="31" t="s">
        <v>121</v>
      </c>
      <c r="B104" s="27">
        <v>102</v>
      </c>
      <c r="C104" s="27">
        <v>98</v>
      </c>
      <c r="D104" s="4">
        <v>95.9</v>
      </c>
      <c r="E104" s="4">
        <v>97.7</v>
      </c>
      <c r="F104" s="3">
        <v>94.9</v>
      </c>
      <c r="G104" s="40">
        <f t="shared" si="70"/>
        <v>96.166666666666671</v>
      </c>
      <c r="H104" s="64">
        <f t="shared" si="74"/>
        <v>8847.3333333333339</v>
      </c>
      <c r="I104" s="3">
        <v>88.9</v>
      </c>
      <c r="J104" s="3">
        <v>100.6</v>
      </c>
      <c r="K104" s="3">
        <v>111.2</v>
      </c>
      <c r="L104" s="40">
        <f t="shared" si="75"/>
        <v>100.23333333333333</v>
      </c>
      <c r="M104" s="64">
        <f t="shared" si="76"/>
        <v>9221.4666666666672</v>
      </c>
      <c r="N104" s="3">
        <v>106.5</v>
      </c>
      <c r="O104" s="55">
        <v>89</v>
      </c>
      <c r="P104" s="3">
        <v>93.1</v>
      </c>
      <c r="Q104" s="40">
        <f t="shared" si="77"/>
        <v>96.2</v>
      </c>
      <c r="R104" s="64">
        <f t="shared" si="71"/>
        <v>8658</v>
      </c>
      <c r="S104" s="3">
        <v>84</v>
      </c>
      <c r="T104" s="55">
        <v>80.8</v>
      </c>
      <c r="U104" s="57">
        <v>91.1</v>
      </c>
      <c r="V104" s="40">
        <f t="shared" si="78"/>
        <v>85.3</v>
      </c>
      <c r="W104" s="65">
        <f t="shared" si="79"/>
        <v>7762.3</v>
      </c>
      <c r="X104" s="41">
        <f t="shared" si="72"/>
        <v>94.475000000000009</v>
      </c>
      <c r="Y104" s="42">
        <f t="shared" si="73"/>
        <v>34483.375</v>
      </c>
    </row>
    <row r="105" spans="1:27" ht="15" customHeight="1" thickBot="1" x14ac:dyDescent="0.3">
      <c r="A105" s="32" t="s">
        <v>228</v>
      </c>
      <c r="B105" s="27">
        <f>338+176</f>
        <v>514</v>
      </c>
      <c r="C105" s="27">
        <f>327+176</f>
        <v>503</v>
      </c>
      <c r="D105" s="608">
        <v>0</v>
      </c>
      <c r="E105" s="608">
        <v>0</v>
      </c>
      <c r="F105" s="3">
        <v>0</v>
      </c>
      <c r="G105" s="40">
        <f t="shared" ref="G105:G106" si="80">SUM(D105:F105)/3</f>
        <v>0</v>
      </c>
      <c r="H105" s="64">
        <f t="shared" si="74"/>
        <v>0</v>
      </c>
      <c r="I105" s="3">
        <v>0</v>
      </c>
      <c r="J105" s="3">
        <v>0</v>
      </c>
      <c r="K105" s="3">
        <v>0</v>
      </c>
      <c r="L105" s="40">
        <f t="shared" si="75"/>
        <v>0</v>
      </c>
      <c r="M105" s="64">
        <f t="shared" si="76"/>
        <v>0</v>
      </c>
      <c r="N105" s="3">
        <v>0</v>
      </c>
      <c r="O105" s="55">
        <v>0</v>
      </c>
      <c r="P105" s="3">
        <v>0</v>
      </c>
      <c r="Q105" s="40">
        <f t="shared" si="77"/>
        <v>0</v>
      </c>
      <c r="R105" s="64">
        <f t="shared" si="71"/>
        <v>0</v>
      </c>
      <c r="S105" s="3">
        <v>0</v>
      </c>
      <c r="T105" s="55">
        <v>0</v>
      </c>
      <c r="U105" s="57">
        <v>0</v>
      </c>
      <c r="V105" s="40">
        <f t="shared" si="78"/>
        <v>0</v>
      </c>
      <c r="W105" s="65">
        <f t="shared" si="79"/>
        <v>0</v>
      </c>
      <c r="X105" s="41">
        <f t="shared" si="72"/>
        <v>0</v>
      </c>
      <c r="Y105" s="42">
        <f t="shared" si="73"/>
        <v>0</v>
      </c>
    </row>
    <row r="106" spans="1:27" ht="15" customHeight="1" thickBot="1" x14ac:dyDescent="0.3">
      <c r="A106" s="31" t="s">
        <v>129</v>
      </c>
      <c r="B106" s="27">
        <v>128</v>
      </c>
      <c r="C106" s="27">
        <v>128</v>
      </c>
      <c r="D106" s="4">
        <v>57</v>
      </c>
      <c r="E106" s="4">
        <v>75.099999999999994</v>
      </c>
      <c r="F106" s="4">
        <v>84.9</v>
      </c>
      <c r="G106" s="40">
        <f t="shared" si="80"/>
        <v>72.333333333333329</v>
      </c>
      <c r="H106" s="64">
        <f t="shared" si="74"/>
        <v>6654.6666666666661</v>
      </c>
      <c r="I106" s="3">
        <v>97</v>
      </c>
      <c r="J106" s="4">
        <v>91</v>
      </c>
      <c r="K106" s="4">
        <v>84.8</v>
      </c>
      <c r="L106" s="40">
        <f t="shared" si="75"/>
        <v>90.933333333333337</v>
      </c>
      <c r="M106" s="64">
        <f t="shared" si="76"/>
        <v>8365.8666666666668</v>
      </c>
      <c r="N106" s="4">
        <v>86.7</v>
      </c>
      <c r="O106" s="4">
        <v>91.8</v>
      </c>
      <c r="P106" s="4">
        <v>78.099999999999994</v>
      </c>
      <c r="Q106" s="40">
        <f t="shared" si="77"/>
        <v>85.533333333333346</v>
      </c>
      <c r="R106" s="64">
        <f t="shared" si="71"/>
        <v>7698.0000000000009</v>
      </c>
      <c r="S106" s="4">
        <v>71.2</v>
      </c>
      <c r="T106" s="4">
        <v>88.4</v>
      </c>
      <c r="U106" s="4">
        <v>90.4</v>
      </c>
      <c r="V106" s="40">
        <f t="shared" si="78"/>
        <v>83.333333333333343</v>
      </c>
      <c r="W106" s="65">
        <f t="shared" si="79"/>
        <v>7583.3333333333339</v>
      </c>
      <c r="X106" s="41">
        <f t="shared" si="72"/>
        <v>83.033333333333331</v>
      </c>
      <c r="Y106" s="42">
        <f t="shared" si="73"/>
        <v>30307.166666666664</v>
      </c>
    </row>
    <row r="107" spans="1:27" ht="15" customHeight="1" thickBot="1" x14ac:dyDescent="0.3">
      <c r="A107" s="30" t="s">
        <v>19</v>
      </c>
      <c r="B107" s="27">
        <v>551</v>
      </c>
      <c r="C107" s="27">
        <v>535</v>
      </c>
      <c r="D107" s="73">
        <v>518.20000000000005</v>
      </c>
      <c r="E107" s="73">
        <v>518.29999999999995</v>
      </c>
      <c r="F107" s="69">
        <v>508.7</v>
      </c>
      <c r="G107" s="40">
        <f>SUM(D107:F107)/3</f>
        <v>515.06666666666672</v>
      </c>
      <c r="H107" s="64">
        <f t="shared" si="74"/>
        <v>47386.133333333339</v>
      </c>
      <c r="I107" s="69">
        <v>509.3</v>
      </c>
      <c r="J107" s="3">
        <v>517.5</v>
      </c>
      <c r="K107" s="69">
        <v>512.29999999999995</v>
      </c>
      <c r="L107" s="40">
        <f t="shared" si="75"/>
        <v>513.0333333333333</v>
      </c>
      <c r="M107" s="65">
        <f t="shared" si="76"/>
        <v>47199.066666666666</v>
      </c>
      <c r="N107" s="3">
        <v>511.9</v>
      </c>
      <c r="O107" s="54">
        <v>507.1</v>
      </c>
      <c r="P107" s="3">
        <v>505.9</v>
      </c>
      <c r="Q107" s="40">
        <f t="shared" si="77"/>
        <v>508.3</v>
      </c>
      <c r="R107" s="64">
        <f t="shared" si="71"/>
        <v>45747</v>
      </c>
      <c r="S107" s="3">
        <v>502.2</v>
      </c>
      <c r="T107" s="54">
        <v>504.3</v>
      </c>
      <c r="U107" s="56">
        <v>506.5</v>
      </c>
      <c r="V107" s="40">
        <f t="shared" si="78"/>
        <v>504.33333333333331</v>
      </c>
      <c r="W107" s="65">
        <f t="shared" si="79"/>
        <v>45894.333333333328</v>
      </c>
      <c r="X107" s="41">
        <f t="shared" si="72"/>
        <v>510.18333333333334</v>
      </c>
      <c r="Y107" s="42">
        <f t="shared" si="73"/>
        <v>186216.91666666666</v>
      </c>
    </row>
    <row r="108" spans="1:27" ht="15" customHeight="1" thickBot="1" x14ac:dyDescent="0.3">
      <c r="A108" s="32" t="s">
        <v>340</v>
      </c>
      <c r="B108" s="27">
        <f>360+116</f>
        <v>476</v>
      </c>
      <c r="C108" s="27">
        <f>354+111</f>
        <v>465</v>
      </c>
      <c r="D108" s="4">
        <f>298.8+109.2</f>
        <v>408</v>
      </c>
      <c r="E108" s="4">
        <f>297.5+117.2</f>
        <v>414.7</v>
      </c>
      <c r="F108" s="3">
        <f>297.9+112.9</f>
        <v>410.79999999999995</v>
      </c>
      <c r="G108" s="40">
        <f>SUM(D108:F108)/3</f>
        <v>411.16666666666669</v>
      </c>
      <c r="H108" s="64">
        <f t="shared" si="74"/>
        <v>37827.333333333336</v>
      </c>
      <c r="I108" s="3">
        <f>291.6+113.9</f>
        <v>405.5</v>
      </c>
      <c r="J108" s="3">
        <f>289.1+124.2</f>
        <v>413.3</v>
      </c>
      <c r="K108" s="3">
        <f>315.9+127.2</f>
        <v>443.09999999999997</v>
      </c>
      <c r="L108" s="40">
        <f t="shared" si="75"/>
        <v>420.63333333333327</v>
      </c>
      <c r="M108" s="64">
        <f t="shared" si="76"/>
        <v>38698.266666666663</v>
      </c>
      <c r="N108" s="3">
        <f>344.6+135.7</f>
        <v>480.3</v>
      </c>
      <c r="O108" s="55">
        <f>339.6+130.1</f>
        <v>469.70000000000005</v>
      </c>
      <c r="P108" s="3">
        <f>330.4+122.5</f>
        <v>452.9</v>
      </c>
      <c r="Q108" s="40">
        <f t="shared" si="77"/>
        <v>467.63333333333338</v>
      </c>
      <c r="R108" s="64">
        <f t="shared" si="71"/>
        <v>42087.000000000007</v>
      </c>
      <c r="S108" s="3">
        <f>317.1+118.1</f>
        <v>435.20000000000005</v>
      </c>
      <c r="T108" s="55">
        <f>296.9+121.8</f>
        <v>418.7</v>
      </c>
      <c r="U108" s="57">
        <f>295.1+123.8</f>
        <v>418.90000000000003</v>
      </c>
      <c r="V108" s="40">
        <f t="shared" si="78"/>
        <v>424.26666666666671</v>
      </c>
      <c r="W108" s="65">
        <f t="shared" si="79"/>
        <v>38608.26666666667</v>
      </c>
      <c r="X108" s="41">
        <f t="shared" si="72"/>
        <v>430.92500000000001</v>
      </c>
      <c r="Y108" s="42">
        <f t="shared" si="73"/>
        <v>157287.625</v>
      </c>
    </row>
    <row r="109" spans="1:27" ht="15" customHeight="1" thickBot="1" x14ac:dyDescent="0.3">
      <c r="A109" s="31" t="s">
        <v>122</v>
      </c>
      <c r="B109" s="27">
        <v>200</v>
      </c>
      <c r="C109" s="27">
        <v>189</v>
      </c>
      <c r="D109" s="4">
        <v>209.2</v>
      </c>
      <c r="E109" s="4">
        <v>218.7</v>
      </c>
      <c r="F109" s="3">
        <v>210.3</v>
      </c>
      <c r="G109" s="40">
        <f>SUM(D109:F109)/3</f>
        <v>212.73333333333335</v>
      </c>
      <c r="H109" s="64">
        <f t="shared" si="74"/>
        <v>19571.466666666667</v>
      </c>
      <c r="I109" s="3">
        <v>207.8</v>
      </c>
      <c r="J109" s="3">
        <v>202.1</v>
      </c>
      <c r="K109" s="3">
        <v>207.5</v>
      </c>
      <c r="L109" s="40">
        <f t="shared" si="75"/>
        <v>205.79999999999998</v>
      </c>
      <c r="M109" s="64">
        <f t="shared" si="76"/>
        <v>18933.599999999999</v>
      </c>
      <c r="N109" s="3">
        <v>207.6</v>
      </c>
      <c r="O109" s="55">
        <v>207.9</v>
      </c>
      <c r="P109" s="3">
        <v>207</v>
      </c>
      <c r="Q109" s="40">
        <f t="shared" si="77"/>
        <v>207.5</v>
      </c>
      <c r="R109" s="64">
        <f t="shared" si="71"/>
        <v>18675</v>
      </c>
      <c r="S109" s="3">
        <v>200.6</v>
      </c>
      <c r="T109" s="55">
        <v>198.9</v>
      </c>
      <c r="U109" s="57">
        <v>217.8</v>
      </c>
      <c r="V109" s="40">
        <f t="shared" si="78"/>
        <v>205.76666666666665</v>
      </c>
      <c r="W109" s="65">
        <f t="shared" si="79"/>
        <v>18724.766666666666</v>
      </c>
      <c r="X109" s="41">
        <f t="shared" si="72"/>
        <v>207.95000000000002</v>
      </c>
      <c r="Y109" s="42">
        <f t="shared" si="73"/>
        <v>75901.75</v>
      </c>
    </row>
    <row r="110" spans="1:27" ht="15" customHeight="1" thickBot="1" x14ac:dyDescent="0.3">
      <c r="A110" s="31" t="s">
        <v>123</v>
      </c>
      <c r="B110" s="21"/>
      <c r="C110" s="21"/>
      <c r="D110" s="4">
        <v>0</v>
      </c>
      <c r="E110" s="4">
        <v>0</v>
      </c>
      <c r="F110" s="4">
        <v>0</v>
      </c>
      <c r="G110" s="43">
        <f>SUM(D110:F110)/3</f>
        <v>0</v>
      </c>
      <c r="H110" s="64">
        <f t="shared" si="74"/>
        <v>0</v>
      </c>
      <c r="I110" s="4">
        <v>0</v>
      </c>
      <c r="J110" s="4">
        <v>0</v>
      </c>
      <c r="K110" s="4">
        <v>0</v>
      </c>
      <c r="L110" s="43">
        <f t="shared" si="75"/>
        <v>0</v>
      </c>
      <c r="M110" s="64">
        <f t="shared" si="76"/>
        <v>0</v>
      </c>
      <c r="N110" s="4">
        <v>0</v>
      </c>
      <c r="O110" s="4">
        <v>0</v>
      </c>
      <c r="P110" s="4">
        <v>0</v>
      </c>
      <c r="Q110" s="43">
        <f t="shared" si="77"/>
        <v>0</v>
      </c>
      <c r="R110" s="64">
        <f t="shared" si="71"/>
        <v>0</v>
      </c>
      <c r="S110" s="3" t="s">
        <v>96</v>
      </c>
      <c r="T110" s="3" t="s">
        <v>96</v>
      </c>
      <c r="U110" s="4" t="s">
        <v>96</v>
      </c>
      <c r="V110" s="43">
        <f t="shared" si="78"/>
        <v>0</v>
      </c>
      <c r="W110" s="66">
        <f t="shared" si="79"/>
        <v>0</v>
      </c>
      <c r="X110" s="41">
        <v>0</v>
      </c>
      <c r="Y110" s="42">
        <f t="shared" si="73"/>
        <v>0</v>
      </c>
    </row>
    <row r="111" spans="1:27" ht="15" customHeight="1" thickBot="1" x14ac:dyDescent="0.3">
      <c r="A111" s="442" t="s">
        <v>130</v>
      </c>
      <c r="B111" s="443"/>
      <c r="C111" s="443"/>
      <c r="D111" s="444">
        <f>SUM(D97:D110)</f>
        <v>4283.3999999999996</v>
      </c>
      <c r="E111" s="444">
        <f>SUM(E97:E110)</f>
        <v>4372.8999999999987</v>
      </c>
      <c r="F111" s="444">
        <f>SUM(F97:F110)</f>
        <v>4479.6000000000004</v>
      </c>
      <c r="G111" s="445">
        <f>SUM(D111:F111)/3</f>
        <v>4378.6333333333332</v>
      </c>
      <c r="H111" s="446">
        <f>G111*92</f>
        <v>402834.26666666666</v>
      </c>
      <c r="I111" s="447">
        <f>SUM(I97:I110)-1</f>
        <v>4556.1000000000004</v>
      </c>
      <c r="J111" s="444">
        <f>SUM(J97:J110)</f>
        <v>4590.2</v>
      </c>
      <c r="K111" s="444">
        <f>SUM(K97:K110)</f>
        <v>4556.7000000000007</v>
      </c>
      <c r="L111" s="445">
        <f t="shared" si="75"/>
        <v>4567.666666666667</v>
      </c>
      <c r="M111" s="448">
        <f t="shared" si="76"/>
        <v>420225.33333333337</v>
      </c>
      <c r="N111" s="449">
        <f>SUM(N97:N110)</f>
        <v>4579</v>
      </c>
      <c r="O111" s="444">
        <f>SUM(O97:O110)</f>
        <v>4494.3999999999996</v>
      </c>
      <c r="P111" s="444">
        <f>SUM(P97:P110)</f>
        <v>4486.8999999999996</v>
      </c>
      <c r="Q111" s="445">
        <f t="shared" si="77"/>
        <v>4520.0999999999995</v>
      </c>
      <c r="R111" s="64">
        <f>Q111*90</f>
        <v>406808.99999999994</v>
      </c>
      <c r="S111" s="447">
        <f>SUM(S97:S110)</f>
        <v>4487.2000000000007</v>
      </c>
      <c r="T111" s="444">
        <f>SUM(T97:T109)</f>
        <v>4482.3</v>
      </c>
      <c r="U111" s="450">
        <f>SUM(U97:U110)</f>
        <v>4551.8</v>
      </c>
      <c r="V111" s="445">
        <f t="shared" si="78"/>
        <v>4507.0999999999995</v>
      </c>
      <c r="W111" s="451">
        <f t="shared" si="79"/>
        <v>410146.1</v>
      </c>
      <c r="X111" s="452">
        <f>SUM(D111+E111+F111+I111+J111+K111+N111+O111+P111+S111+T111+U111)/12</f>
        <v>4493.3750000000009</v>
      </c>
      <c r="Y111" s="452">
        <f>X111*365</f>
        <v>1640081.8750000002</v>
      </c>
      <c r="AA111" s="761"/>
    </row>
    <row r="112" spans="1:27" ht="15" customHeight="1" thickBot="1" x14ac:dyDescent="0.3">
      <c r="A112" s="28" t="s">
        <v>131</v>
      </c>
      <c r="B112" s="22"/>
      <c r="C112" s="22"/>
      <c r="D112" s="637"/>
      <c r="E112" s="637"/>
      <c r="F112" s="638"/>
      <c r="G112" s="62"/>
      <c r="H112" s="62"/>
      <c r="I112" s="48"/>
      <c r="J112" s="46"/>
      <c r="K112" s="47"/>
      <c r="L112" s="61"/>
      <c r="M112" s="61"/>
      <c r="N112" s="48"/>
      <c r="O112" s="46"/>
      <c r="P112" s="47"/>
      <c r="Q112" s="61"/>
      <c r="R112" s="64">
        <f>Q112*90</f>
        <v>0</v>
      </c>
      <c r="S112" s="48"/>
      <c r="T112" s="46"/>
      <c r="U112" s="47"/>
      <c r="V112" s="47"/>
      <c r="W112" s="46"/>
      <c r="X112" s="60"/>
      <c r="Y112" s="42">
        <f t="shared" si="73"/>
        <v>0</v>
      </c>
    </row>
    <row r="113" spans="1:25" ht="15" customHeight="1" thickBot="1" x14ac:dyDescent="0.3">
      <c r="A113" s="749" t="s">
        <v>124</v>
      </c>
      <c r="B113" s="750">
        <f>463+56</f>
        <v>519</v>
      </c>
      <c r="C113" s="751" t="s">
        <v>96</v>
      </c>
      <c r="D113" s="752">
        <v>269.77</v>
      </c>
      <c r="E113" s="752">
        <v>282.77</v>
      </c>
      <c r="F113" s="752">
        <v>293.97000000000003</v>
      </c>
      <c r="G113" s="753">
        <f t="shared" ref="G113:G115" si="81">SUM(D113:F113)/3</f>
        <v>282.17</v>
      </c>
      <c r="H113" s="754">
        <f t="shared" ref="H113:H121" si="82">G113*92</f>
        <v>25959.640000000003</v>
      </c>
      <c r="I113" s="752">
        <v>286.70999999999998</v>
      </c>
      <c r="J113" s="752">
        <v>272.07</v>
      </c>
      <c r="K113" s="752">
        <v>237.19</v>
      </c>
      <c r="L113" s="753">
        <f t="shared" ref="L113:L116" si="83">SUM(I113:K113)/3</f>
        <v>265.32333333333332</v>
      </c>
      <c r="M113" s="754">
        <f t="shared" ref="M113:M121" si="84">L113*92</f>
        <v>24409.746666666666</v>
      </c>
      <c r="N113" s="752">
        <v>233.81</v>
      </c>
      <c r="O113" s="755">
        <v>299.95999999999998</v>
      </c>
      <c r="P113" s="755">
        <f>272.32+30.97</f>
        <v>303.28999999999996</v>
      </c>
      <c r="Q113" s="753">
        <f t="shared" ref="Q113:Q122" si="85">SUM(N113:P113)/3</f>
        <v>279.02</v>
      </c>
      <c r="R113" s="754">
        <f t="shared" ref="R113:R122" si="86">Q113*90</f>
        <v>25111.8</v>
      </c>
      <c r="S113" s="752">
        <f>239.87+33.67</f>
        <v>273.54000000000002</v>
      </c>
      <c r="T113" s="755">
        <v>304.70999999999998</v>
      </c>
      <c r="U113" s="756">
        <f>272.9+31.3</f>
        <v>304.2</v>
      </c>
      <c r="V113" s="753">
        <f t="shared" ref="V113:V122" si="87">SUM(S113:U113)/3</f>
        <v>294.15000000000003</v>
      </c>
      <c r="W113" s="757">
        <f t="shared" ref="W113:W121" si="88">V113*91</f>
        <v>26767.65</v>
      </c>
      <c r="X113" s="758">
        <f t="shared" ref="X113:X117" si="89">SUM(D113+E113+F113+I113+J113+K113+N113+O113+P113+S113+T113+U113)/12</f>
        <v>280.1658333333333</v>
      </c>
      <c r="Y113" s="759">
        <f t="shared" si="73"/>
        <v>102260.52916666666</v>
      </c>
    </row>
    <row r="114" spans="1:25" ht="15" customHeight="1" thickBot="1" x14ac:dyDescent="0.3">
      <c r="A114" s="31" t="s">
        <v>125</v>
      </c>
      <c r="B114" s="609" t="s">
        <v>96</v>
      </c>
      <c r="C114" s="370" t="s">
        <v>96</v>
      </c>
      <c r="D114" s="5">
        <v>0</v>
      </c>
      <c r="E114" s="5">
        <v>0</v>
      </c>
      <c r="F114" s="5">
        <v>0</v>
      </c>
      <c r="G114" s="40">
        <f t="shared" si="81"/>
        <v>0</v>
      </c>
      <c r="H114" s="64">
        <f t="shared" si="82"/>
        <v>0</v>
      </c>
      <c r="I114" s="5">
        <v>0</v>
      </c>
      <c r="J114" s="5">
        <v>0</v>
      </c>
      <c r="K114" s="5">
        <v>0</v>
      </c>
      <c r="L114" s="40">
        <f t="shared" si="83"/>
        <v>0</v>
      </c>
      <c r="M114" s="64">
        <f t="shared" si="84"/>
        <v>0</v>
      </c>
      <c r="N114" s="5">
        <v>0</v>
      </c>
      <c r="O114" s="49">
        <v>0</v>
      </c>
      <c r="P114" s="49">
        <v>0</v>
      </c>
      <c r="Q114" s="40">
        <f t="shared" si="85"/>
        <v>0</v>
      </c>
      <c r="R114" s="64">
        <f t="shared" si="86"/>
        <v>0</v>
      </c>
      <c r="S114" s="5">
        <v>0</v>
      </c>
      <c r="T114" s="49">
        <v>0</v>
      </c>
      <c r="U114" s="50">
        <v>0</v>
      </c>
      <c r="V114" s="40">
        <f t="shared" si="87"/>
        <v>0</v>
      </c>
      <c r="W114" s="65">
        <f t="shared" si="88"/>
        <v>0</v>
      </c>
      <c r="X114" s="41">
        <f t="shared" si="89"/>
        <v>0</v>
      </c>
      <c r="Y114" s="42">
        <f t="shared" si="73"/>
        <v>0</v>
      </c>
    </row>
    <row r="115" spans="1:25" ht="15" customHeight="1" thickBot="1" x14ac:dyDescent="0.3">
      <c r="A115" s="31" t="s">
        <v>127</v>
      </c>
      <c r="B115" s="610">
        <v>19</v>
      </c>
      <c r="C115" s="370" t="s">
        <v>96</v>
      </c>
      <c r="D115" s="5">
        <v>6.35</v>
      </c>
      <c r="E115" s="5">
        <v>2.71</v>
      </c>
      <c r="F115" s="5">
        <v>8.8000000000000007</v>
      </c>
      <c r="G115" s="40">
        <f t="shared" si="81"/>
        <v>5.9533333333333331</v>
      </c>
      <c r="H115" s="64">
        <f t="shared" si="82"/>
        <v>547.70666666666671</v>
      </c>
      <c r="I115" s="5">
        <v>10.84</v>
      </c>
      <c r="J115" s="5">
        <v>15.53</v>
      </c>
      <c r="K115" s="5">
        <v>16.68</v>
      </c>
      <c r="L115" s="40">
        <f t="shared" si="83"/>
        <v>14.35</v>
      </c>
      <c r="M115" s="64">
        <f t="shared" si="84"/>
        <v>1320.2</v>
      </c>
      <c r="N115" s="5">
        <v>9</v>
      </c>
      <c r="O115" s="49">
        <v>9.75</v>
      </c>
      <c r="P115" s="49">
        <f>11.77+1.48</f>
        <v>13.25</v>
      </c>
      <c r="Q115" s="40">
        <f t="shared" si="85"/>
        <v>10.666666666666666</v>
      </c>
      <c r="R115" s="64">
        <f t="shared" si="86"/>
        <v>960</v>
      </c>
      <c r="S115" s="5">
        <f>12.8+1.7</f>
        <v>14.5</v>
      </c>
      <c r="T115" s="49">
        <v>21.13</v>
      </c>
      <c r="U115" s="50">
        <f>21.43</f>
        <v>21.43</v>
      </c>
      <c r="V115" s="40">
        <f t="shared" si="87"/>
        <v>19.02</v>
      </c>
      <c r="W115" s="65">
        <f t="shared" si="88"/>
        <v>1730.82</v>
      </c>
      <c r="X115" s="41">
        <f>SUM(D115+E115+F115+I115+J115+K115+N115+O115+P115+S115+T115+U115)/12</f>
        <v>12.4975</v>
      </c>
      <c r="Y115" s="42">
        <f t="shared" si="73"/>
        <v>4561.5875000000005</v>
      </c>
    </row>
    <row r="116" spans="1:25" ht="15" customHeight="1" thickBot="1" x14ac:dyDescent="0.3">
      <c r="A116" s="31" t="s">
        <v>126</v>
      </c>
      <c r="B116" s="610" t="s">
        <v>341</v>
      </c>
      <c r="C116" s="370" t="s">
        <v>96</v>
      </c>
      <c r="D116" s="5">
        <v>172</v>
      </c>
      <c r="E116" s="5">
        <v>185</v>
      </c>
      <c r="F116" s="5">
        <v>187</v>
      </c>
      <c r="G116" s="40">
        <v>187</v>
      </c>
      <c r="H116" s="64">
        <f t="shared" si="82"/>
        <v>17204</v>
      </c>
      <c r="I116" s="5">
        <v>192</v>
      </c>
      <c r="J116" s="5">
        <v>182</v>
      </c>
      <c r="K116" s="5">
        <v>191</v>
      </c>
      <c r="L116" s="40">
        <f t="shared" si="83"/>
        <v>188.33333333333334</v>
      </c>
      <c r="M116" s="64">
        <f t="shared" si="84"/>
        <v>17326.666666666668</v>
      </c>
      <c r="N116" s="5">
        <v>182</v>
      </c>
      <c r="O116" s="49">
        <v>200</v>
      </c>
      <c r="P116" s="49">
        <v>199</v>
      </c>
      <c r="Q116" s="40">
        <f t="shared" si="85"/>
        <v>193.66666666666666</v>
      </c>
      <c r="R116" s="64">
        <f t="shared" si="86"/>
        <v>17430</v>
      </c>
      <c r="S116" s="5">
        <v>204</v>
      </c>
      <c r="T116" s="49">
        <v>200</v>
      </c>
      <c r="U116" s="50">
        <v>194</v>
      </c>
      <c r="V116" s="40">
        <f t="shared" si="87"/>
        <v>199.33333333333334</v>
      </c>
      <c r="W116" s="65">
        <f t="shared" si="88"/>
        <v>18139.333333333336</v>
      </c>
      <c r="X116" s="41">
        <f>SUM(D116+E116+F116+I116+J116+K116+N116+O116+P116+S116+T116+U116)/12</f>
        <v>190.66666666666666</v>
      </c>
      <c r="Y116" s="42">
        <f t="shared" si="73"/>
        <v>69593.333333333328</v>
      </c>
    </row>
    <row r="117" spans="1:25" ht="15" customHeight="1" thickBot="1" x14ac:dyDescent="0.3">
      <c r="A117" s="639" t="s">
        <v>686</v>
      </c>
      <c r="B117" s="640" t="s">
        <v>341</v>
      </c>
      <c r="C117" s="641" t="s">
        <v>96</v>
      </c>
      <c r="D117" s="642">
        <v>0</v>
      </c>
      <c r="E117" s="642">
        <v>0</v>
      </c>
      <c r="F117" s="642">
        <v>0</v>
      </c>
      <c r="G117" s="643">
        <f t="shared" ref="G117" si="90">SUM(D117:F117)/3</f>
        <v>0</v>
      </c>
      <c r="H117" s="644">
        <f t="shared" si="82"/>
        <v>0</v>
      </c>
      <c r="I117" s="642">
        <v>0</v>
      </c>
      <c r="J117" s="642">
        <v>0</v>
      </c>
      <c r="K117" s="642">
        <v>0</v>
      </c>
      <c r="L117" s="643">
        <f t="shared" ref="L117" si="91">SUM(I117:K117)/3</f>
        <v>0</v>
      </c>
      <c r="M117" s="644">
        <f t="shared" si="84"/>
        <v>0</v>
      </c>
      <c r="N117" s="642">
        <v>0</v>
      </c>
      <c r="O117" s="645">
        <v>0</v>
      </c>
      <c r="P117" s="645">
        <v>0</v>
      </c>
      <c r="Q117" s="643">
        <f t="shared" si="85"/>
        <v>0</v>
      </c>
      <c r="R117" s="64">
        <f t="shared" si="86"/>
        <v>0</v>
      </c>
      <c r="S117" s="642">
        <v>0</v>
      </c>
      <c r="T117" s="645">
        <v>0</v>
      </c>
      <c r="U117" s="646">
        <v>0</v>
      </c>
      <c r="V117" s="643">
        <f t="shared" si="87"/>
        <v>0</v>
      </c>
      <c r="W117" s="647">
        <f t="shared" si="88"/>
        <v>0</v>
      </c>
      <c r="X117" s="648">
        <f t="shared" si="89"/>
        <v>0</v>
      </c>
      <c r="Y117" s="42">
        <f t="shared" si="73"/>
        <v>0</v>
      </c>
    </row>
    <row r="118" spans="1:25" ht="15" customHeight="1" thickBot="1" x14ac:dyDescent="0.3">
      <c r="A118" s="639" t="s">
        <v>736</v>
      </c>
      <c r="B118" s="640" t="s">
        <v>341</v>
      </c>
      <c r="C118" s="641" t="s">
        <v>96</v>
      </c>
      <c r="D118" s="642">
        <v>1346</v>
      </c>
      <c r="E118" s="642">
        <v>1322</v>
      </c>
      <c r="F118" s="642">
        <v>1381</v>
      </c>
      <c r="G118" s="643">
        <f t="shared" ref="G118:G121" si="92">SUM(D118:F118)/3</f>
        <v>1349.6666666666667</v>
      </c>
      <c r="H118" s="644">
        <f t="shared" si="82"/>
        <v>124169.33333333334</v>
      </c>
      <c r="I118" s="642">
        <v>1335</v>
      </c>
      <c r="J118" s="642">
        <v>1407</v>
      </c>
      <c r="K118" s="642">
        <v>1434</v>
      </c>
      <c r="L118" s="643">
        <f t="shared" ref="L118:L122" si="93">SUM(I118:K118)/3</f>
        <v>1392</v>
      </c>
      <c r="M118" s="644">
        <f t="shared" si="84"/>
        <v>128064</v>
      </c>
      <c r="N118" s="642">
        <v>1492</v>
      </c>
      <c r="O118" s="645">
        <v>1538</v>
      </c>
      <c r="P118" s="645">
        <v>1576</v>
      </c>
      <c r="Q118" s="643">
        <f t="shared" si="85"/>
        <v>1535.3333333333333</v>
      </c>
      <c r="R118" s="64">
        <f t="shared" si="86"/>
        <v>138180</v>
      </c>
      <c r="S118" s="642">
        <v>1633</v>
      </c>
      <c r="T118" s="645">
        <v>1632</v>
      </c>
      <c r="U118" s="646">
        <v>1656</v>
      </c>
      <c r="V118" s="643">
        <f t="shared" si="87"/>
        <v>1640.3333333333333</v>
      </c>
      <c r="W118" s="647">
        <f t="shared" si="88"/>
        <v>149270.33333333331</v>
      </c>
      <c r="X118" s="648">
        <f>SUM(D118+E118+F118+I118+J118+K118+N118+O118+P118+S118+T118+U118)/12</f>
        <v>1479.3333333333333</v>
      </c>
      <c r="Y118" s="42">
        <f>X118*365</f>
        <v>539956.66666666663</v>
      </c>
    </row>
    <row r="119" spans="1:25" ht="15.75" customHeight="1" thickBot="1" x14ac:dyDescent="0.3">
      <c r="A119" s="31" t="s">
        <v>281</v>
      </c>
      <c r="B119" s="610" t="s">
        <v>341</v>
      </c>
      <c r="C119" s="370" t="s">
        <v>96</v>
      </c>
      <c r="D119" s="5" t="s">
        <v>409</v>
      </c>
      <c r="E119" s="5" t="s">
        <v>409</v>
      </c>
      <c r="F119" s="5" t="s">
        <v>409</v>
      </c>
      <c r="G119" s="40">
        <f t="shared" si="92"/>
        <v>0</v>
      </c>
      <c r="H119" s="64">
        <f t="shared" si="82"/>
        <v>0</v>
      </c>
      <c r="I119" s="5" t="s">
        <v>409</v>
      </c>
      <c r="J119" s="5" t="s">
        <v>409</v>
      </c>
      <c r="K119" s="5" t="s">
        <v>409</v>
      </c>
      <c r="L119" s="40">
        <f t="shared" si="93"/>
        <v>0</v>
      </c>
      <c r="M119" s="64">
        <f t="shared" si="84"/>
        <v>0</v>
      </c>
      <c r="N119" s="5">
        <v>0</v>
      </c>
      <c r="O119" s="5">
        <v>0</v>
      </c>
      <c r="P119" s="5">
        <v>0</v>
      </c>
      <c r="Q119" s="40">
        <f t="shared" si="85"/>
        <v>0</v>
      </c>
      <c r="R119" s="64">
        <f t="shared" si="86"/>
        <v>0</v>
      </c>
      <c r="S119" s="5">
        <v>0</v>
      </c>
      <c r="T119" s="5">
        <v>0</v>
      </c>
      <c r="U119" s="5">
        <v>0</v>
      </c>
      <c r="V119" s="40">
        <f t="shared" si="87"/>
        <v>0</v>
      </c>
      <c r="W119" s="65">
        <f t="shared" si="88"/>
        <v>0</v>
      </c>
      <c r="X119" s="41">
        <v>0</v>
      </c>
      <c r="Y119" s="42">
        <f t="shared" si="73"/>
        <v>0</v>
      </c>
    </row>
    <row r="120" spans="1:25" ht="15" customHeight="1" thickBot="1" x14ac:dyDescent="0.3">
      <c r="A120" s="31" t="s">
        <v>128</v>
      </c>
      <c r="B120" s="610" t="s">
        <v>341</v>
      </c>
      <c r="C120" s="370" t="s">
        <v>96</v>
      </c>
      <c r="D120" s="5">
        <v>11</v>
      </c>
      <c r="E120" s="5">
        <v>11</v>
      </c>
      <c r="F120" s="5">
        <v>10</v>
      </c>
      <c r="G120" s="40">
        <f t="shared" si="92"/>
        <v>10.666666666666666</v>
      </c>
      <c r="H120" s="64">
        <f t="shared" si="82"/>
        <v>981.33333333333326</v>
      </c>
      <c r="I120" s="5">
        <v>10</v>
      </c>
      <c r="J120" s="5">
        <v>10</v>
      </c>
      <c r="K120" s="5">
        <v>9</v>
      </c>
      <c r="L120" s="40">
        <f t="shared" si="93"/>
        <v>9.6666666666666661</v>
      </c>
      <c r="M120" s="64">
        <f t="shared" si="84"/>
        <v>889.33333333333326</v>
      </c>
      <c r="N120" s="5">
        <v>9</v>
      </c>
      <c r="O120" s="49">
        <v>9</v>
      </c>
      <c r="P120" s="49">
        <v>9</v>
      </c>
      <c r="Q120" s="40">
        <f t="shared" si="85"/>
        <v>9</v>
      </c>
      <c r="R120" s="64">
        <f t="shared" si="86"/>
        <v>810</v>
      </c>
      <c r="S120" s="5">
        <v>9</v>
      </c>
      <c r="T120" s="49">
        <v>9</v>
      </c>
      <c r="U120" s="50">
        <v>9</v>
      </c>
      <c r="V120" s="40">
        <f t="shared" si="87"/>
        <v>9</v>
      </c>
      <c r="W120" s="66">
        <f t="shared" si="88"/>
        <v>819</v>
      </c>
      <c r="X120" s="41">
        <f>SUM(D120+E120+F120+I120+J120+K120+N120+O120+P120+S120+T120+U120)/12</f>
        <v>9.5833333333333339</v>
      </c>
      <c r="Y120" s="42">
        <f t="shared" si="73"/>
        <v>3497.916666666667</v>
      </c>
    </row>
    <row r="121" spans="1:25" ht="15" customHeight="1" thickBot="1" x14ac:dyDescent="0.3">
      <c r="A121" s="33" t="s">
        <v>132</v>
      </c>
      <c r="B121" s="23"/>
      <c r="C121" s="23"/>
      <c r="D121" s="51">
        <f>SUM(D113:D120)</f>
        <v>1805.12</v>
      </c>
      <c r="E121" s="51">
        <f>SUM(E113:E120)</f>
        <v>1803.48</v>
      </c>
      <c r="F121" s="51">
        <f>SUM(F113:F120)</f>
        <v>1880.77</v>
      </c>
      <c r="G121" s="44">
        <f t="shared" si="92"/>
        <v>1829.79</v>
      </c>
      <c r="H121" s="64">
        <f t="shared" si="82"/>
        <v>168340.68</v>
      </c>
      <c r="I121" s="59">
        <f>SUM(I113:I120)</f>
        <v>1834.55</v>
      </c>
      <c r="J121" s="51">
        <f>SUM(J113:J120)</f>
        <v>1886.6</v>
      </c>
      <c r="K121" s="51">
        <f>SUM(K113:K120)</f>
        <v>1887.87</v>
      </c>
      <c r="L121" s="44">
        <f t="shared" si="93"/>
        <v>1869.6733333333332</v>
      </c>
      <c r="M121" s="70">
        <f t="shared" si="84"/>
        <v>172009.94666666666</v>
      </c>
      <c r="N121" s="59">
        <f>SUM(N113:N120)</f>
        <v>1925.81</v>
      </c>
      <c r="O121" s="51">
        <f>SUM(O113:O120)</f>
        <v>2056.71</v>
      </c>
      <c r="P121" s="51">
        <f>SUM(P113:P120)</f>
        <v>2100.54</v>
      </c>
      <c r="Q121" s="44">
        <f t="shared" si="85"/>
        <v>2027.6866666666665</v>
      </c>
      <c r="R121" s="64">
        <f t="shared" si="86"/>
        <v>182491.8</v>
      </c>
      <c r="S121" s="59">
        <f>SUM(S113:S120)</f>
        <v>2134.04</v>
      </c>
      <c r="T121" s="51">
        <f>SUM(T113:T120)</f>
        <v>2166.84</v>
      </c>
      <c r="U121" s="52">
        <f>SUM(U113:U120)</f>
        <v>2184.63</v>
      </c>
      <c r="V121" s="44">
        <f t="shared" si="87"/>
        <v>2161.8366666666666</v>
      </c>
      <c r="W121" s="71">
        <f t="shared" si="88"/>
        <v>196727.13666666666</v>
      </c>
      <c r="X121" s="45">
        <f>SUM(X113:X120)</f>
        <v>1972.2466666666664</v>
      </c>
      <c r="Y121" s="42">
        <f t="shared" si="73"/>
        <v>719870.03333333321</v>
      </c>
    </row>
    <row r="122" spans="1:25" ht="15" customHeight="1" thickBot="1" x14ac:dyDescent="0.3">
      <c r="A122" s="34" t="s">
        <v>136</v>
      </c>
      <c r="B122" s="24"/>
      <c r="C122" s="24"/>
      <c r="D122" s="51">
        <f>D111+D121</f>
        <v>6088.5199999999995</v>
      </c>
      <c r="E122" s="51">
        <f>E111+E121</f>
        <v>6176.3799999999992</v>
      </c>
      <c r="F122" s="51">
        <f>F111+F121</f>
        <v>6360.3700000000008</v>
      </c>
      <c r="G122" s="51">
        <f>G111+G121</f>
        <v>6208.4233333333332</v>
      </c>
      <c r="H122" s="44">
        <f>SUM(H111+H121)</f>
        <v>571174.94666666666</v>
      </c>
      <c r="I122" s="51">
        <f>I111+I121</f>
        <v>6390.6500000000005</v>
      </c>
      <c r="J122" s="51">
        <f>J111+J121</f>
        <v>6476.7999999999993</v>
      </c>
      <c r="K122" s="51">
        <f>K111+K121</f>
        <v>6444.5700000000006</v>
      </c>
      <c r="L122" s="71">
        <f t="shared" si="93"/>
        <v>6437.34</v>
      </c>
      <c r="M122" s="44">
        <f>SUM(M111+M121)</f>
        <v>592235.28</v>
      </c>
      <c r="N122" s="59">
        <f>N111+N121</f>
        <v>6504.8099999999995</v>
      </c>
      <c r="O122" s="51">
        <f>O111+O121</f>
        <v>6551.11</v>
      </c>
      <c r="P122" s="51">
        <f>P111+P121</f>
        <v>6587.44</v>
      </c>
      <c r="Q122" s="63">
        <f t="shared" si="85"/>
        <v>6547.786666666666</v>
      </c>
      <c r="R122" s="64">
        <f t="shared" si="86"/>
        <v>589300.79999999993</v>
      </c>
      <c r="S122" s="59">
        <f>S111+S121</f>
        <v>6621.2400000000007</v>
      </c>
      <c r="T122" s="51">
        <f>T111+T121</f>
        <v>6649.14</v>
      </c>
      <c r="U122" s="52">
        <f>U111+U121</f>
        <v>6736.43</v>
      </c>
      <c r="V122" s="63">
        <f t="shared" si="87"/>
        <v>6668.9366666666674</v>
      </c>
      <c r="W122" s="44">
        <f>SUM(W111+W121)</f>
        <v>606873.23666666658</v>
      </c>
      <c r="X122" s="51">
        <f>X111+X121</f>
        <v>6465.6216666666678</v>
      </c>
      <c r="Y122" s="42">
        <f t="shared" si="73"/>
        <v>2359951.9083333337</v>
      </c>
    </row>
    <row r="123" spans="1:25" ht="18" customHeight="1" x14ac:dyDescent="0.2">
      <c r="A123" s="676" t="s">
        <v>135</v>
      </c>
      <c r="B123" s="6"/>
      <c r="C123" s="6"/>
      <c r="D123" s="634"/>
      <c r="E123" s="634"/>
      <c r="F123" s="634"/>
      <c r="G123" s="8"/>
      <c r="H123" s="635"/>
      <c r="I123" s="8"/>
      <c r="J123" s="8"/>
      <c r="K123" s="8"/>
      <c r="L123" s="8"/>
      <c r="M123" s="8"/>
      <c r="N123" s="8"/>
      <c r="O123" s="8"/>
      <c r="P123" s="8"/>
      <c r="Q123" s="8"/>
      <c r="R123" s="8"/>
      <c r="S123" s="8"/>
      <c r="T123" s="8"/>
      <c r="U123" s="8"/>
      <c r="V123" s="8"/>
      <c r="W123" s="8"/>
      <c r="X123" s="8"/>
      <c r="Y123" s="8"/>
    </row>
    <row r="124" spans="1:25" ht="15" customHeight="1" x14ac:dyDescent="0.25">
      <c r="A124" s="692" t="s">
        <v>703</v>
      </c>
      <c r="B124" s="678"/>
      <c r="C124" s="678"/>
      <c r="D124" s="679"/>
      <c r="E124" s="679"/>
      <c r="F124" s="679"/>
      <c r="G124" s="679"/>
      <c r="H124" s="680"/>
      <c r="I124" s="679"/>
      <c r="J124" s="679"/>
      <c r="K124" s="679"/>
      <c r="L124" s="681"/>
      <c r="M124" s="680"/>
      <c r="N124" s="679"/>
      <c r="O124" s="679"/>
      <c r="P124" s="679"/>
      <c r="Q124" s="682"/>
      <c r="R124" s="680"/>
      <c r="S124" s="679"/>
      <c r="T124" s="679"/>
      <c r="U124" s="679"/>
      <c r="V124" s="682"/>
      <c r="W124" s="680"/>
      <c r="X124" s="679"/>
      <c r="Y124" s="679"/>
    </row>
    <row r="125" spans="1:25" ht="19.899999999999999" customHeight="1" x14ac:dyDescent="0.2"/>
  </sheetData>
  <mergeCells count="48">
    <mergeCell ref="V3:V4"/>
    <mergeCell ref="W3:W4"/>
    <mergeCell ref="X3:X4"/>
    <mergeCell ref="Y3:Y4"/>
    <mergeCell ref="B2:U2"/>
    <mergeCell ref="C3:C4"/>
    <mergeCell ref="G3:G4"/>
    <mergeCell ref="H3:H4"/>
    <mergeCell ref="L3:L4"/>
    <mergeCell ref="M3:M4"/>
    <mergeCell ref="Q3:Q4"/>
    <mergeCell ref="R3:R4"/>
    <mergeCell ref="V95:V96"/>
    <mergeCell ref="W95:W96"/>
    <mergeCell ref="X95:X96"/>
    <mergeCell ref="Y95:Y96"/>
    <mergeCell ref="B94:U94"/>
    <mergeCell ref="C95:C96"/>
    <mergeCell ref="G95:G96"/>
    <mergeCell ref="H95:H96"/>
    <mergeCell ref="L95:L96"/>
    <mergeCell ref="M95:M96"/>
    <mergeCell ref="Q95:Q96"/>
    <mergeCell ref="R95:R96"/>
    <mergeCell ref="V64:V65"/>
    <mergeCell ref="W64:W65"/>
    <mergeCell ref="X64:X65"/>
    <mergeCell ref="Y64:Y65"/>
    <mergeCell ref="B63:U63"/>
    <mergeCell ref="C64:C65"/>
    <mergeCell ref="G64:G65"/>
    <mergeCell ref="H64:H65"/>
    <mergeCell ref="L64:L65"/>
    <mergeCell ref="M64:M65"/>
    <mergeCell ref="Q64:Q65"/>
    <mergeCell ref="R64:R65"/>
    <mergeCell ref="V34:V35"/>
    <mergeCell ref="W34:W35"/>
    <mergeCell ref="X34:X35"/>
    <mergeCell ref="Y34:Y35"/>
    <mergeCell ref="B33:U33"/>
    <mergeCell ref="C34:C35"/>
    <mergeCell ref="G34:G35"/>
    <mergeCell ref="H34:H35"/>
    <mergeCell ref="L34:L35"/>
    <mergeCell ref="M34:M35"/>
    <mergeCell ref="Q34:Q35"/>
    <mergeCell ref="R34:R35"/>
  </mergeCells>
  <phoneticPr fontId="22" type="noConversion"/>
  <printOptions horizontalCentered="1"/>
  <pageMargins left="0" right="0" top="0.97" bottom="0.5" header="0.33" footer="0.5"/>
  <pageSetup scale="52" fitToHeight="0" orientation="landscape" r:id="rId1"/>
  <headerFooter alignWithMargins="0">
    <oddHeader>&amp;C&amp;"Arial,Bold"&amp;12DEPARTMENT OF CORRECTIONS
 2025 COST OF CARE 
(Based on FY2024 Actuals)</oddHeader>
    <oddFooter>&amp;L&amp;8&amp;F &amp;A&amp;R&amp;8&amp;D &amp;T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7" tint="0.59999389629810485"/>
    <pageSetUpPr fitToPage="1"/>
  </sheetPr>
  <dimension ref="A1:O21"/>
  <sheetViews>
    <sheetView showGridLines="0" workbookViewId="0"/>
  </sheetViews>
  <sheetFormatPr defaultColWidth="9.140625" defaultRowHeight="15" x14ac:dyDescent="0.25"/>
  <cols>
    <col min="1" max="1" width="30.140625" style="110" customWidth="1"/>
    <col min="2" max="2" width="8.140625" style="110" bestFit="1" customWidth="1"/>
    <col min="3" max="3" width="8" style="110" bestFit="1" customWidth="1"/>
    <col min="4" max="4" width="8.140625" style="110" bestFit="1" customWidth="1"/>
    <col min="5" max="5" width="7.7109375" style="110" bestFit="1" customWidth="1"/>
    <col min="6" max="6" width="8.28515625" style="110" bestFit="1" customWidth="1"/>
    <col min="7" max="7" width="8.85546875" style="110" customWidth="1"/>
    <col min="8" max="8" width="7.7109375" style="110" bestFit="1" customWidth="1"/>
    <col min="9" max="10" width="8" style="110" bestFit="1" customWidth="1"/>
    <col min="11" max="11" width="8.42578125" style="110" bestFit="1" customWidth="1"/>
    <col min="12" max="12" width="8.28515625" style="110" bestFit="1" customWidth="1"/>
    <col min="13" max="13" width="8.140625" style="110" bestFit="1" customWidth="1"/>
    <col min="14" max="14" width="15.140625" style="110" customWidth="1"/>
    <col min="15" max="15" width="12.5703125" style="110" customWidth="1"/>
    <col min="16" max="16384" width="9.140625" style="110"/>
  </cols>
  <sheetData>
    <row r="1" spans="1:15" ht="41.25" customHeight="1" thickBot="1" x14ac:dyDescent="0.3">
      <c r="A1" s="652" t="s">
        <v>217</v>
      </c>
      <c r="B1" s="1025" t="s">
        <v>966</v>
      </c>
      <c r="C1" s="1026"/>
      <c r="D1" s="1026"/>
      <c r="E1" s="1026"/>
      <c r="F1" s="1026"/>
      <c r="G1" s="1026"/>
      <c r="H1" s="1026"/>
      <c r="I1" s="1026"/>
      <c r="J1" s="1026"/>
      <c r="K1" s="1026"/>
      <c r="L1" s="1026"/>
      <c r="M1" s="1027"/>
      <c r="N1" s="1028" t="s">
        <v>232</v>
      </c>
      <c r="O1" s="1030" t="s">
        <v>135</v>
      </c>
    </row>
    <row r="2" spans="1:15" ht="15.75" thickBot="1" x14ac:dyDescent="0.3">
      <c r="A2" s="653"/>
      <c r="B2" s="367">
        <v>45108</v>
      </c>
      <c r="C2" s="367">
        <v>45139</v>
      </c>
      <c r="D2" s="367">
        <v>45170</v>
      </c>
      <c r="E2" s="367">
        <v>45200</v>
      </c>
      <c r="F2" s="367">
        <v>45231</v>
      </c>
      <c r="G2" s="367">
        <v>45261</v>
      </c>
      <c r="H2" s="367">
        <v>45292</v>
      </c>
      <c r="I2" s="367">
        <v>45323</v>
      </c>
      <c r="J2" s="367">
        <v>45352</v>
      </c>
      <c r="K2" s="367">
        <v>45383</v>
      </c>
      <c r="L2" s="367">
        <v>45413</v>
      </c>
      <c r="M2" s="367">
        <v>45444</v>
      </c>
      <c r="N2" s="1029"/>
      <c r="O2" s="1029"/>
    </row>
    <row r="3" spans="1:15" ht="18" customHeight="1" thickBot="1" x14ac:dyDescent="0.3">
      <c r="A3" s="783" t="s">
        <v>231</v>
      </c>
      <c r="B3" s="784">
        <f>'Qtrly''s-Cntsht Book'!D21</f>
        <v>373</v>
      </c>
      <c r="C3" s="784">
        <f>'Qtrly''s-Cntsht Book'!E21</f>
        <v>381</v>
      </c>
      <c r="D3" s="784">
        <f>'Qtrly''s-Cntsht Book'!F21</f>
        <v>384</v>
      </c>
      <c r="E3" s="784">
        <f>'Qtrly''s-Cntsht Book'!I21</f>
        <v>402</v>
      </c>
      <c r="F3" s="784">
        <f>'Qtrly''s-Cntsht Book'!J21</f>
        <v>393</v>
      </c>
      <c r="G3" s="784">
        <f>'Qtrly''s-Cntsht Book'!K21</f>
        <v>373</v>
      </c>
      <c r="H3" s="784">
        <f>'Qtrly''s-Cntsht Book'!N21</f>
        <v>368</v>
      </c>
      <c r="I3" s="784">
        <f>'Qtrly''s-Cntsht Book'!O21</f>
        <v>398</v>
      </c>
      <c r="J3" s="784">
        <f>'Qtrly''s-Cntsht Book'!P21</f>
        <v>387</v>
      </c>
      <c r="K3" s="784">
        <f>'Qtrly''s-Cntsht Book'!S21</f>
        <v>387</v>
      </c>
      <c r="L3" s="784">
        <f>'Qtrly''s-Cntsht Book'!T21</f>
        <v>402</v>
      </c>
      <c r="M3" s="784">
        <f>'Qtrly''s-Cntsht Book'!U21</f>
        <v>396</v>
      </c>
      <c r="N3" s="785">
        <f>SUM(B3:M3)/12</f>
        <v>387</v>
      </c>
      <c r="O3" s="786">
        <f>'Qtrly''s-Cntsht Book'!Y21</f>
        <v>141642</v>
      </c>
    </row>
    <row r="4" spans="1:15" ht="18" customHeight="1" thickBot="1" x14ac:dyDescent="0.3">
      <c r="A4" s="934"/>
      <c r="B4" s="805"/>
      <c r="C4" s="805"/>
      <c r="D4" s="805"/>
      <c r="E4" s="805"/>
      <c r="F4" s="805"/>
      <c r="G4" s="805"/>
      <c r="H4" s="805"/>
      <c r="I4" s="805"/>
      <c r="J4" s="805"/>
      <c r="K4" s="805"/>
      <c r="L4" s="805"/>
      <c r="M4" s="805"/>
      <c r="N4" s="805"/>
      <c r="O4" s="935"/>
    </row>
    <row r="5" spans="1:15" ht="41.25" customHeight="1" thickBot="1" x14ac:dyDescent="0.3">
      <c r="A5" s="652" t="s">
        <v>217</v>
      </c>
      <c r="B5" s="1031" t="s">
        <v>814</v>
      </c>
      <c r="C5" s="1032"/>
      <c r="D5" s="1032"/>
      <c r="E5" s="1032"/>
      <c r="F5" s="1032"/>
      <c r="G5" s="1032"/>
      <c r="H5" s="1032"/>
      <c r="I5" s="1032"/>
      <c r="J5" s="1032"/>
      <c r="K5" s="1032"/>
      <c r="L5" s="1032"/>
      <c r="M5" s="1033"/>
      <c r="N5" s="1028" t="s">
        <v>232</v>
      </c>
      <c r="O5" s="1030" t="s">
        <v>135</v>
      </c>
    </row>
    <row r="6" spans="1:15" ht="15.75" thickBot="1" x14ac:dyDescent="0.3">
      <c r="A6" s="653"/>
      <c r="B6" s="367">
        <v>44751</v>
      </c>
      <c r="C6" s="367">
        <v>44782</v>
      </c>
      <c r="D6" s="367">
        <v>44813</v>
      </c>
      <c r="E6" s="367">
        <v>44843</v>
      </c>
      <c r="F6" s="367">
        <v>44874</v>
      </c>
      <c r="G6" s="367">
        <v>44904</v>
      </c>
      <c r="H6" s="367">
        <v>44935</v>
      </c>
      <c r="I6" s="367">
        <v>44966</v>
      </c>
      <c r="J6" s="367">
        <v>44994</v>
      </c>
      <c r="K6" s="367">
        <v>45025</v>
      </c>
      <c r="L6" s="367">
        <v>45055</v>
      </c>
      <c r="M6" s="367">
        <v>45086</v>
      </c>
      <c r="N6" s="1029"/>
      <c r="O6" s="1029"/>
    </row>
    <row r="7" spans="1:15" ht="18" customHeight="1" x14ac:dyDescent="0.25">
      <c r="A7" s="783" t="s">
        <v>231</v>
      </c>
      <c r="B7" s="784">
        <f>'Qtrly''s-Cntsht Book'!D52</f>
        <v>314</v>
      </c>
      <c r="C7" s="784">
        <f>'Qtrly''s-Cntsht Book'!E52</f>
        <v>341</v>
      </c>
      <c r="D7" s="784">
        <f>'Qtrly''s-Cntsht Book'!F52</f>
        <v>359.27</v>
      </c>
      <c r="E7" s="784">
        <f>'Qtrly''s-Cntsht Book'!I52</f>
        <v>352.03</v>
      </c>
      <c r="F7" s="784">
        <f>'Qtrly''s-Cntsht Book'!J52</f>
        <v>318</v>
      </c>
      <c r="G7" s="784">
        <f>'Qtrly''s-Cntsht Book'!K52</f>
        <v>339</v>
      </c>
      <c r="H7" s="784">
        <f>'Qtrly''s-Cntsht Book'!N52</f>
        <v>338</v>
      </c>
      <c r="I7" s="784">
        <f>'Qtrly''s-Cntsht Book'!O52</f>
        <v>364</v>
      </c>
      <c r="J7" s="784">
        <f>'Qtrly''s-Cntsht Book'!P52</f>
        <v>381</v>
      </c>
      <c r="K7" s="784">
        <f>'Qtrly''s-Cntsht Book'!S52</f>
        <v>367</v>
      </c>
      <c r="L7" s="784">
        <f>'Qtrly''s-Cntsht Book'!T52</f>
        <v>358</v>
      </c>
      <c r="M7" s="784">
        <f>'Qtrly''s-Cntsht Book'!U52</f>
        <v>358</v>
      </c>
      <c r="N7" s="785">
        <f>SUM(B7:M7)/12</f>
        <v>349.10833333333335</v>
      </c>
      <c r="O7" s="786">
        <f>'Qtrly''s-Cntsht Book'!Y52</f>
        <v>127424.54166666667</v>
      </c>
    </row>
    <row r="8" spans="1:15" ht="15.75" thickBot="1" x14ac:dyDescent="0.3"/>
    <row r="9" spans="1:15" ht="41.25" customHeight="1" thickBot="1" x14ac:dyDescent="0.3">
      <c r="A9" s="652" t="s">
        <v>217</v>
      </c>
      <c r="B9" s="1025" t="s">
        <v>764</v>
      </c>
      <c r="C9" s="1026"/>
      <c r="D9" s="1026"/>
      <c r="E9" s="1026"/>
      <c r="F9" s="1026"/>
      <c r="G9" s="1026"/>
      <c r="H9" s="1026"/>
      <c r="I9" s="1026"/>
      <c r="J9" s="1026"/>
      <c r="K9" s="1026"/>
      <c r="L9" s="1026"/>
      <c r="M9" s="1027"/>
      <c r="N9" s="1028" t="s">
        <v>232</v>
      </c>
      <c r="O9" s="1030" t="s">
        <v>135</v>
      </c>
    </row>
    <row r="10" spans="1:15" ht="15.75" thickBot="1" x14ac:dyDescent="0.3">
      <c r="A10" s="653"/>
      <c r="B10" s="367">
        <v>44386</v>
      </c>
      <c r="C10" s="367">
        <v>44417</v>
      </c>
      <c r="D10" s="367">
        <v>44448</v>
      </c>
      <c r="E10" s="367">
        <v>44478</v>
      </c>
      <c r="F10" s="367">
        <v>44509</v>
      </c>
      <c r="G10" s="367">
        <v>44539</v>
      </c>
      <c r="H10" s="367">
        <v>44570</v>
      </c>
      <c r="I10" s="367">
        <v>44601</v>
      </c>
      <c r="J10" s="367">
        <v>44629</v>
      </c>
      <c r="K10" s="367">
        <v>44660</v>
      </c>
      <c r="L10" s="367">
        <v>44690</v>
      </c>
      <c r="M10" s="367">
        <v>44721</v>
      </c>
      <c r="N10" s="1029"/>
      <c r="O10" s="1029"/>
    </row>
    <row r="11" spans="1:15" ht="18" customHeight="1" thickBot="1" x14ac:dyDescent="0.3">
      <c r="A11" s="783" t="s">
        <v>231</v>
      </c>
      <c r="B11" s="784">
        <f>'Qtrly''s-Cntsht Book'!D82</f>
        <v>292.32</v>
      </c>
      <c r="C11" s="784">
        <f>'Qtrly''s-Cntsht Book'!E82</f>
        <v>265.42</v>
      </c>
      <c r="D11" s="784">
        <f>'Qtrly''s-Cntsht Book'!F82</f>
        <v>263.89999999999998</v>
      </c>
      <c r="E11" s="784">
        <f>'Qtrly''s-Cntsht Book'!I82</f>
        <v>276.64999999999998</v>
      </c>
      <c r="F11" s="784">
        <f>'Qtrly''s-Cntsht Book'!J82</f>
        <v>261.97000000000003</v>
      </c>
      <c r="G11" s="784">
        <f>'Qtrly''s-Cntsht Book'!K82</f>
        <v>278.58</v>
      </c>
      <c r="H11" s="784">
        <f>'Qtrly''s-Cntsht Book'!N82</f>
        <v>276.95999999999998</v>
      </c>
      <c r="I11" s="784">
        <f>'Qtrly''s-Cntsht Book'!O82</f>
        <v>277</v>
      </c>
      <c r="J11" s="784">
        <f>'Qtrly''s-Cntsht Book'!P82</f>
        <v>338</v>
      </c>
      <c r="K11" s="784">
        <f>'Qtrly''s-Cntsht Book'!S82</f>
        <v>360</v>
      </c>
      <c r="L11" s="784">
        <f>'Qtrly''s-Cntsht Book'!T82</f>
        <v>359</v>
      </c>
      <c r="M11" s="784">
        <f>'Qtrly''s-Cntsht Book'!U82</f>
        <v>331</v>
      </c>
      <c r="N11" s="785">
        <f>SUM(B11:M11)/12</f>
        <v>298.40000000000003</v>
      </c>
      <c r="O11" s="786">
        <f>'Qtrly''s-Cntsht Book'!Y82</f>
        <v>108916.00000000001</v>
      </c>
    </row>
    <row r="12" spans="1:15" ht="27.75" customHeight="1" thickBot="1" x14ac:dyDescent="0.3">
      <c r="A12" s="808"/>
      <c r="B12" s="805"/>
      <c r="C12" s="805"/>
      <c r="D12" s="805"/>
      <c r="E12" s="805"/>
      <c r="F12" s="805"/>
      <c r="G12" s="805"/>
      <c r="H12" s="805"/>
      <c r="I12" s="805"/>
      <c r="J12" s="805"/>
      <c r="K12" s="805"/>
      <c r="L12" s="805"/>
      <c r="M12" s="805"/>
      <c r="N12" s="807"/>
      <c r="O12" s="806"/>
    </row>
    <row r="13" spans="1:15" ht="31.5" customHeight="1" thickBot="1" x14ac:dyDescent="0.3">
      <c r="A13" s="652" t="s">
        <v>217</v>
      </c>
      <c r="B13" s="1031" t="s">
        <v>761</v>
      </c>
      <c r="C13" s="1032"/>
      <c r="D13" s="1032"/>
      <c r="E13" s="1032"/>
      <c r="F13" s="1032"/>
      <c r="G13" s="1032"/>
      <c r="H13" s="1032"/>
      <c r="I13" s="1032"/>
      <c r="J13" s="1032"/>
      <c r="K13" s="1032"/>
      <c r="L13" s="1032"/>
      <c r="M13" s="1033"/>
      <c r="N13" s="1028" t="s">
        <v>232</v>
      </c>
      <c r="O13" s="1030" t="s">
        <v>233</v>
      </c>
    </row>
    <row r="14" spans="1:15" ht="15.75" thickBot="1" x14ac:dyDescent="0.3">
      <c r="A14" s="653"/>
      <c r="B14" s="367">
        <v>44021</v>
      </c>
      <c r="C14" s="367">
        <v>44052</v>
      </c>
      <c r="D14" s="367">
        <v>44083</v>
      </c>
      <c r="E14" s="367">
        <v>44113</v>
      </c>
      <c r="F14" s="367">
        <v>44144</v>
      </c>
      <c r="G14" s="367">
        <v>44174</v>
      </c>
      <c r="H14" s="367">
        <v>44205</v>
      </c>
      <c r="I14" s="367">
        <v>44236</v>
      </c>
      <c r="J14" s="367">
        <v>44264</v>
      </c>
      <c r="K14" s="367">
        <v>44295</v>
      </c>
      <c r="L14" s="367">
        <v>44325</v>
      </c>
      <c r="M14" s="367">
        <v>44356</v>
      </c>
      <c r="N14" s="1029"/>
      <c r="O14" s="1029"/>
    </row>
    <row r="15" spans="1:15" ht="22.5" customHeight="1" x14ac:dyDescent="0.25">
      <c r="A15" s="783" t="s">
        <v>231</v>
      </c>
      <c r="B15" s="784">
        <f>'Qtrly''s-Cntsht Book'!D113</f>
        <v>269.77</v>
      </c>
      <c r="C15" s="784">
        <f>'Qtrly''s-Cntsht Book'!E113</f>
        <v>282.77</v>
      </c>
      <c r="D15" s="784">
        <f>'Qtrly''s-Cntsht Book'!F113</f>
        <v>293.97000000000003</v>
      </c>
      <c r="E15" s="784">
        <f>'Qtrly''s-Cntsht Book'!I113</f>
        <v>286.70999999999998</v>
      </c>
      <c r="F15" s="784">
        <f>'Qtrly''s-Cntsht Book'!J113</f>
        <v>272.07</v>
      </c>
      <c r="G15" s="784">
        <f>'Qtrly''s-Cntsht Book'!K113</f>
        <v>237.19</v>
      </c>
      <c r="H15" s="784">
        <f>'Qtrly''s-Cntsht Book'!N113</f>
        <v>233.81</v>
      </c>
      <c r="I15" s="784">
        <f>'Qtrly''s-Cntsht Book'!O113</f>
        <v>299.95999999999998</v>
      </c>
      <c r="J15" s="784">
        <f>'Qtrly''s-Cntsht Book'!P113</f>
        <v>303.28999999999996</v>
      </c>
      <c r="K15" s="784">
        <f>'Qtrly''s-Cntsht Book'!S113</f>
        <v>273.54000000000002</v>
      </c>
      <c r="L15" s="784">
        <f>'Qtrly''s-Cntsht Book'!T113</f>
        <v>304.70999999999998</v>
      </c>
      <c r="M15" s="784">
        <f>'Qtrly''s-Cntsht Book'!U113</f>
        <v>304.2</v>
      </c>
      <c r="N15" s="785">
        <f>SUM(B15:M15)/12</f>
        <v>280.1658333333333</v>
      </c>
      <c r="O15" s="786">
        <f>'Qtrly''s-Cntsht Book'!Y113</f>
        <v>102260.52916666666</v>
      </c>
    </row>
    <row r="16" spans="1:15" x14ac:dyDescent="0.25">
      <c r="A16" s="673"/>
      <c r="B16" s="674"/>
      <c r="C16" s="674"/>
      <c r="D16" s="674"/>
      <c r="E16" s="674"/>
      <c r="F16" s="674"/>
      <c r="G16" s="674"/>
      <c r="H16" s="674"/>
      <c r="I16" s="674"/>
      <c r="J16" s="674"/>
      <c r="K16" s="674"/>
      <c r="L16" s="674"/>
      <c r="M16" s="674"/>
      <c r="N16" s="674"/>
      <c r="O16" s="675"/>
    </row>
    <row r="17" spans="1:15" x14ac:dyDescent="0.25">
      <c r="A17" s="368"/>
      <c r="B17" s="660"/>
      <c r="C17" s="660"/>
      <c r="D17" s="660"/>
      <c r="E17" s="660"/>
      <c r="F17" s="660"/>
      <c r="G17" s="660"/>
      <c r="H17" s="660"/>
      <c r="I17" s="660"/>
      <c r="J17" s="660"/>
      <c r="K17" s="660"/>
      <c r="L17" s="660"/>
      <c r="M17" s="660"/>
      <c r="N17" s="660"/>
      <c r="O17" s="661"/>
    </row>
    <row r="20" spans="1:15" x14ac:dyDescent="0.25">
      <c r="A20" s="368"/>
      <c r="B20" s="660"/>
      <c r="C20" s="660"/>
      <c r="D20" s="660"/>
      <c r="E20" s="660"/>
      <c r="F20" s="660"/>
      <c r="G20" s="660"/>
      <c r="H20" s="660"/>
      <c r="I20" s="660"/>
      <c r="J20" s="660"/>
      <c r="K20" s="660"/>
      <c r="L20" s="660"/>
      <c r="M20" s="660"/>
      <c r="N20" s="660"/>
      <c r="O20" s="661"/>
    </row>
    <row r="21" spans="1:15" x14ac:dyDescent="0.25">
      <c r="A21" s="430" t="s">
        <v>899</v>
      </c>
      <c r="B21" s="660"/>
      <c r="C21" s="660"/>
      <c r="D21" s="660"/>
      <c r="E21" s="660"/>
      <c r="F21" s="660"/>
      <c r="G21" s="660"/>
      <c r="H21" s="660"/>
      <c r="I21" s="660"/>
      <c r="J21" s="660"/>
      <c r="K21" s="660"/>
      <c r="L21" s="660"/>
      <c r="M21" s="660"/>
      <c r="N21" s="660"/>
      <c r="O21" s="661"/>
    </row>
  </sheetData>
  <mergeCells count="12">
    <mergeCell ref="B1:M1"/>
    <mergeCell ref="N1:N2"/>
    <mergeCell ref="O1:O2"/>
    <mergeCell ref="B5:M5"/>
    <mergeCell ref="N5:N6"/>
    <mergeCell ref="O5:O6"/>
    <mergeCell ref="B9:M9"/>
    <mergeCell ref="N9:N10"/>
    <mergeCell ref="O9:O10"/>
    <mergeCell ref="B13:M13"/>
    <mergeCell ref="N13:N14"/>
    <mergeCell ref="O13:O14"/>
  </mergeCells>
  <phoneticPr fontId="22" type="noConversion"/>
  <printOptions horizontalCentered="1"/>
  <pageMargins left="0" right="0" top="1.25" bottom="0.75" header="0.3" footer="0.3"/>
  <pageSetup scale="88" fitToHeight="0" orientation="landscape" r:id="rId1"/>
  <headerFooter alignWithMargins="0">
    <oddHeader>&amp;C&amp;"Arial,Bold"&amp;12DEPARTMENT OF CORRECTIONS
 2025 COST OF CARE 
(Based on FY2024 Actuals)</oddHeader>
    <oddFooter xml:space="preserve">&amp;L&amp;8&amp;F &amp;A&amp;R&amp;8&amp;D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7" tint="0.59999389629810485"/>
  </sheetPr>
  <dimension ref="A1:BJ39"/>
  <sheetViews>
    <sheetView showGridLines="0" zoomScaleNormal="100" workbookViewId="0">
      <pane xSplit="1" ySplit="1" topLeftCell="B2" activePane="bottomRight" state="frozen"/>
      <selection pane="topRight" activeCell="B1" sqref="B1"/>
      <selection pane="bottomLeft" activeCell="A2" sqref="A2"/>
      <selection pane="bottomRight" activeCell="A22" sqref="A22"/>
    </sheetView>
  </sheetViews>
  <sheetFormatPr defaultRowHeight="12.75" x14ac:dyDescent="0.2"/>
  <cols>
    <col min="1" max="1" width="18.85546875" customWidth="1"/>
    <col min="2" max="2" width="14.85546875" customWidth="1"/>
    <col min="3" max="4" width="9.140625" customWidth="1"/>
    <col min="5" max="5" width="3.5703125" customWidth="1"/>
    <col min="6" max="6" width="14.85546875" customWidth="1"/>
    <col min="7" max="7" width="9.140625" customWidth="1"/>
    <col min="8" max="8" width="9.7109375" customWidth="1"/>
    <col min="9" max="9" width="15.28515625" customWidth="1"/>
    <col min="10" max="11" width="9.140625" customWidth="1"/>
    <col min="12" max="12" width="16" customWidth="1"/>
    <col min="13" max="14" width="9.140625" customWidth="1"/>
    <col min="15" max="15" width="16" customWidth="1"/>
    <col min="16" max="17" width="9.140625" customWidth="1"/>
    <col min="18" max="18" width="16" customWidth="1"/>
    <col min="19" max="20" width="9.140625" customWidth="1"/>
    <col min="21" max="21" width="16" customWidth="1"/>
    <col min="22" max="23" width="9.140625" customWidth="1"/>
    <col min="24" max="24" width="16" customWidth="1"/>
    <col min="25" max="26" width="9.140625" customWidth="1"/>
    <col min="27" max="27" width="16.42578125" customWidth="1"/>
    <col min="28" max="29" width="9.140625" customWidth="1"/>
    <col min="30" max="30" width="16.42578125" customWidth="1"/>
    <col min="31" max="31" width="10.140625" bestFit="1" customWidth="1"/>
    <col min="32" max="32" width="9.140625" customWidth="1"/>
    <col min="33" max="33" width="15.28515625" customWidth="1"/>
    <col min="34" max="34" width="11.85546875" customWidth="1"/>
    <col min="35" max="35" width="9.140625" customWidth="1"/>
    <col min="36" max="36" width="15.7109375" customWidth="1"/>
    <col min="37" max="37" width="9.7109375" customWidth="1"/>
    <col min="38" max="38" width="9.140625" customWidth="1"/>
    <col min="39" max="39" width="16.7109375" customWidth="1"/>
    <col min="40" max="40" width="9.7109375" customWidth="1"/>
    <col min="41" max="41" width="10.28515625" customWidth="1"/>
    <col min="42" max="42" width="16.7109375" customWidth="1"/>
    <col min="43" max="44" width="11.28515625" customWidth="1"/>
    <col min="45" max="45" width="16.7109375" customWidth="1"/>
    <col min="46" max="46" width="10.7109375" customWidth="1"/>
    <col min="47" max="47" width="10.28515625" customWidth="1"/>
    <col min="48" max="48" width="16.7109375" customWidth="1"/>
    <col min="49" max="49" width="10.7109375" customWidth="1"/>
    <col min="50" max="50" width="10.28515625" customWidth="1"/>
    <col min="51" max="51" width="16.7109375" customWidth="1"/>
    <col min="52" max="52" width="10.7109375" customWidth="1"/>
    <col min="53" max="53" width="10.28515625" customWidth="1"/>
    <col min="54" max="54" width="16.7109375" customWidth="1"/>
    <col min="55" max="55" width="10.7109375" customWidth="1"/>
    <col min="56" max="56" width="10.28515625" customWidth="1"/>
    <col min="57" max="57" width="16.7109375" customWidth="1"/>
    <col min="58" max="58" width="10.7109375" customWidth="1"/>
    <col min="59" max="59" width="10.28515625" customWidth="1"/>
    <col min="60" max="60" width="16.7109375" customWidth="1"/>
    <col min="61" max="61" width="10.7109375" customWidth="1"/>
    <col min="62" max="62" width="10.28515625" customWidth="1"/>
  </cols>
  <sheetData>
    <row r="1" spans="1:62" ht="14.25" thickTop="1" thickBot="1" x14ac:dyDescent="0.25">
      <c r="A1" s="76" t="s">
        <v>55</v>
      </c>
      <c r="B1" s="86" t="s">
        <v>282</v>
      </c>
      <c r="C1" s="2" t="s">
        <v>93</v>
      </c>
      <c r="D1" s="2" t="s">
        <v>26</v>
      </c>
      <c r="E1" s="20"/>
      <c r="F1" s="86" t="s">
        <v>283</v>
      </c>
      <c r="G1" s="2" t="s">
        <v>93</v>
      </c>
      <c r="H1" s="2" t="s">
        <v>26</v>
      </c>
      <c r="I1" s="86" t="s">
        <v>284</v>
      </c>
      <c r="J1" s="2" t="s">
        <v>93</v>
      </c>
      <c r="K1" s="2" t="s">
        <v>26</v>
      </c>
      <c r="L1" s="86" t="s">
        <v>285</v>
      </c>
      <c r="M1" s="2" t="s">
        <v>93</v>
      </c>
      <c r="N1" s="2" t="s">
        <v>26</v>
      </c>
      <c r="O1" s="86" t="s">
        <v>286</v>
      </c>
      <c r="P1" s="2" t="s">
        <v>93</v>
      </c>
      <c r="Q1" s="2" t="s">
        <v>26</v>
      </c>
      <c r="R1" s="86" t="s">
        <v>287</v>
      </c>
      <c r="S1" s="2" t="s">
        <v>93</v>
      </c>
      <c r="T1" s="2" t="s">
        <v>26</v>
      </c>
      <c r="U1" s="86" t="s">
        <v>288</v>
      </c>
      <c r="V1" s="2" t="s">
        <v>93</v>
      </c>
      <c r="W1" s="76" t="s">
        <v>26</v>
      </c>
      <c r="X1" s="87" t="s">
        <v>289</v>
      </c>
      <c r="Y1" s="80" t="s">
        <v>93</v>
      </c>
      <c r="Z1" s="384" t="s">
        <v>26</v>
      </c>
      <c r="AA1" s="86" t="s">
        <v>290</v>
      </c>
      <c r="AB1" s="2" t="s">
        <v>93</v>
      </c>
      <c r="AC1" s="2" t="s">
        <v>26</v>
      </c>
      <c r="AD1" s="88" t="s">
        <v>291</v>
      </c>
      <c r="AE1" s="2" t="s">
        <v>93</v>
      </c>
      <c r="AF1" s="2" t="s">
        <v>26</v>
      </c>
      <c r="AG1" s="1042" t="s">
        <v>292</v>
      </c>
      <c r="AH1" s="1043" t="s">
        <v>93</v>
      </c>
      <c r="AI1" s="1043" t="s">
        <v>26</v>
      </c>
      <c r="AJ1" s="387" t="s">
        <v>362</v>
      </c>
      <c r="AK1" s="2" t="s">
        <v>93</v>
      </c>
      <c r="AL1" s="2" t="s">
        <v>26</v>
      </c>
      <c r="AM1" s="387" t="s">
        <v>406</v>
      </c>
      <c r="AN1" s="2" t="s">
        <v>93</v>
      </c>
      <c r="AO1" s="2" t="s">
        <v>26</v>
      </c>
      <c r="AP1" s="662" t="s">
        <v>625</v>
      </c>
      <c r="AQ1" s="2" t="s">
        <v>93</v>
      </c>
      <c r="AR1" s="2" t="s">
        <v>26</v>
      </c>
      <c r="AS1" s="662" t="s">
        <v>629</v>
      </c>
      <c r="AT1" s="2" t="s">
        <v>93</v>
      </c>
      <c r="AU1" s="2" t="s">
        <v>26</v>
      </c>
      <c r="AV1" s="662" t="s">
        <v>694</v>
      </c>
      <c r="AW1" s="2" t="s">
        <v>93</v>
      </c>
      <c r="AX1" s="2" t="s">
        <v>26</v>
      </c>
      <c r="AY1" s="662" t="s">
        <v>734</v>
      </c>
      <c r="AZ1" s="2" t="s">
        <v>93</v>
      </c>
      <c r="BA1" s="2" t="s">
        <v>26</v>
      </c>
      <c r="BB1" s="662" t="s">
        <v>765</v>
      </c>
      <c r="BC1" s="2" t="s">
        <v>93</v>
      </c>
      <c r="BD1" s="2" t="s">
        <v>26</v>
      </c>
      <c r="BE1" s="662" t="s">
        <v>826</v>
      </c>
      <c r="BF1" s="2" t="s">
        <v>93</v>
      </c>
      <c r="BG1" s="2" t="s">
        <v>26</v>
      </c>
      <c r="BH1" s="941" t="s">
        <v>967</v>
      </c>
      <c r="BI1" s="2" t="s">
        <v>93</v>
      </c>
      <c r="BJ1" s="2" t="s">
        <v>26</v>
      </c>
    </row>
    <row r="2" spans="1:62" ht="14.25" thickTop="1" thickBot="1" x14ac:dyDescent="0.25">
      <c r="A2" s="389" t="s">
        <v>239</v>
      </c>
      <c r="B2" s="17">
        <v>4207448.53</v>
      </c>
      <c r="C2" s="18">
        <v>26754.5</v>
      </c>
      <c r="D2" s="19">
        <v>193.50880347742341</v>
      </c>
      <c r="E2" s="10"/>
      <c r="F2" s="17">
        <v>10007491.050000001</v>
      </c>
      <c r="G2" s="18">
        <v>144625.56208333332</v>
      </c>
      <c r="H2" s="19">
        <v>106.85322352658358</v>
      </c>
      <c r="I2" s="17">
        <v>10007491.050000001</v>
      </c>
      <c r="J2" s="18">
        <v>144540</v>
      </c>
      <c r="K2" s="19">
        <v>105.90031510045782</v>
      </c>
      <c r="L2" s="17">
        <v>19164084.239999998</v>
      </c>
      <c r="M2" s="18">
        <v>297558</v>
      </c>
      <c r="N2" s="19">
        <v>99.915961578315503</v>
      </c>
      <c r="O2" s="17">
        <v>19934908.759999998</v>
      </c>
      <c r="P2" s="18">
        <v>305007.3833333333</v>
      </c>
      <c r="Q2" s="19">
        <v>95.644881509254517</v>
      </c>
      <c r="R2" s="17">
        <v>22246649.32</v>
      </c>
      <c r="S2" s="18">
        <v>318750.84999999998</v>
      </c>
      <c r="T2" s="19">
        <v>111.08690690417147</v>
      </c>
      <c r="U2" s="17">
        <v>24224260.27</v>
      </c>
      <c r="V2" s="18">
        <v>353157</v>
      </c>
      <c r="W2" s="79">
        <v>109.64</v>
      </c>
      <c r="X2" s="81">
        <v>24473571.319999997</v>
      </c>
      <c r="Y2" s="18">
        <v>356416</v>
      </c>
      <c r="Z2" s="79">
        <v>109.02</v>
      </c>
      <c r="AA2" s="17">
        <v>24826079.379999999</v>
      </c>
      <c r="AB2" s="18">
        <v>311948</v>
      </c>
      <c r="AC2" s="19">
        <v>79.584031248797871</v>
      </c>
      <c r="AD2" s="1034">
        <v>25829994.579999998</v>
      </c>
      <c r="AE2" s="1035">
        <v>330692.43333333335</v>
      </c>
      <c r="AF2" s="1036">
        <v>78.108816460168981</v>
      </c>
      <c r="AG2" s="1048">
        <v>26198323.199999996</v>
      </c>
      <c r="AH2" s="1049">
        <v>333964.35416666663</v>
      </c>
      <c r="AI2" s="1050">
        <v>78.446465537832779</v>
      </c>
      <c r="AJ2" s="89">
        <v>28150656.220000003</v>
      </c>
      <c r="AK2" s="18">
        <v>331376.40000000002</v>
      </c>
      <c r="AL2" s="417">
        <v>84.950697213199248</v>
      </c>
      <c r="AM2" s="270">
        <v>29509516.810000002</v>
      </c>
      <c r="AN2" s="347">
        <v>322976.94166666665</v>
      </c>
      <c r="AO2" s="417">
        <f>AM2/AN2</f>
        <v>91.367255686183796</v>
      </c>
      <c r="AP2" s="602">
        <v>30526127.900000002</v>
      </c>
      <c r="AQ2" s="664">
        <v>301420.04166666669</v>
      </c>
      <c r="AR2" s="665">
        <f>AP2/AQ2</f>
        <v>101.27438020116169</v>
      </c>
      <c r="AS2" s="666">
        <v>32570126</v>
      </c>
      <c r="AT2" s="667">
        <v>310268</v>
      </c>
      <c r="AU2" s="665">
        <f>AS2/AT2</f>
        <v>104.9741707169286</v>
      </c>
      <c r="AV2" s="668">
        <v>33571015.530000001</v>
      </c>
      <c r="AW2" s="667">
        <v>309681.51250000001</v>
      </c>
      <c r="AX2" s="665">
        <v>108.40497147856057</v>
      </c>
      <c r="AY2" s="668">
        <v>32616972.370000001</v>
      </c>
      <c r="AZ2" s="667">
        <v>324314.66666666669</v>
      </c>
      <c r="BA2" s="665">
        <v>100.5719929512901</v>
      </c>
      <c r="BB2" s="668">
        <v>32616972.370000001</v>
      </c>
      <c r="BC2" s="667">
        <v>324314.66666666669</v>
      </c>
      <c r="BD2" s="665">
        <v>100.5719929512901</v>
      </c>
      <c r="BE2" s="668">
        <f>'[1]BILLING RATE CALC'!C26</f>
        <v>38658392.690000005</v>
      </c>
      <c r="BF2" s="667">
        <f>'[1]BILLING RATE CALC'!D26</f>
        <v>288778.875</v>
      </c>
      <c r="BG2" s="665">
        <f>BE2/BF2</f>
        <v>133.86849259662779</v>
      </c>
      <c r="BH2" s="739">
        <f>'BILLING RATE CALC'!C26</f>
        <v>42760025.079999991</v>
      </c>
      <c r="BI2" s="740">
        <f>'BILLING RATE CALC'!D26</f>
        <v>287066</v>
      </c>
      <c r="BJ2" s="741">
        <f>BH2/BI2</f>
        <v>148.95537987779809</v>
      </c>
    </row>
    <row r="3" spans="1:62" ht="13.5" thickTop="1" x14ac:dyDescent="0.2">
      <c r="A3" s="389" t="s">
        <v>696</v>
      </c>
      <c r="B3" s="11">
        <v>3827124.93</v>
      </c>
      <c r="C3" s="12">
        <v>36429.524583333339</v>
      </c>
      <c r="D3" s="13">
        <v>141.30304577116476</v>
      </c>
      <c r="E3" s="1"/>
      <c r="F3" s="11">
        <v>3827124.93</v>
      </c>
      <c r="G3" s="12">
        <v>38165.586250000008</v>
      </c>
      <c r="H3" s="13">
        <v>137.93421153467364</v>
      </c>
      <c r="I3" s="11">
        <v>4077113.6330000004</v>
      </c>
      <c r="J3" s="12">
        <v>38325</v>
      </c>
      <c r="K3" s="13">
        <v>143.04610031186741</v>
      </c>
      <c r="L3" s="11">
        <v>4022696.32</v>
      </c>
      <c r="M3" s="12">
        <v>39162</v>
      </c>
      <c r="N3" s="13">
        <v>138.23080686379916</v>
      </c>
      <c r="O3" s="11">
        <v>4453361.75</v>
      </c>
      <c r="P3" s="12">
        <v>40348.316666666666</v>
      </c>
      <c r="Q3" s="13">
        <v>140.6590326138257</v>
      </c>
      <c r="R3" s="11">
        <v>4921141.88</v>
      </c>
      <c r="S3" s="12">
        <v>42362.63</v>
      </c>
      <c r="T3" s="13">
        <v>157.46073628350271</v>
      </c>
      <c r="U3" s="11">
        <v>5054874.07</v>
      </c>
      <c r="V3" s="12">
        <v>38831</v>
      </c>
      <c r="W3" s="75">
        <v>171.22</v>
      </c>
      <c r="X3" s="81">
        <v>5023661.03</v>
      </c>
      <c r="Y3" s="12">
        <v>42158</v>
      </c>
      <c r="Z3" s="75">
        <v>159.51</v>
      </c>
      <c r="AA3" s="11">
        <v>5044648.83</v>
      </c>
      <c r="AB3" s="12">
        <v>49993</v>
      </c>
      <c r="AC3" s="19">
        <v>100.90710359450323</v>
      </c>
      <c r="AD3" s="1037">
        <v>5649294.0899999999</v>
      </c>
      <c r="AE3" s="1038">
        <v>42563.258333333331</v>
      </c>
      <c r="AF3" s="1036">
        <v>132.7270117752185</v>
      </c>
      <c r="AG3" s="1051">
        <v>5244350.9300000006</v>
      </c>
      <c r="AH3" s="1052">
        <v>41384.308333333334</v>
      </c>
      <c r="AI3" s="1050">
        <v>126.72317458489199</v>
      </c>
      <c r="AJ3" s="90">
        <v>6006266.8099999987</v>
      </c>
      <c r="AK3" s="12">
        <v>44895.39</v>
      </c>
      <c r="AL3" s="19">
        <v>133.78359804870831</v>
      </c>
      <c r="AM3" s="270">
        <v>6689614.8499999996</v>
      </c>
      <c r="AN3" s="418">
        <v>44782.458333333328</v>
      </c>
      <c r="AO3" s="417">
        <f>AM3/AN3</f>
        <v>149.38025063757294</v>
      </c>
      <c r="AP3" s="602">
        <v>6451550.9900000002</v>
      </c>
      <c r="AQ3" s="669">
        <v>40615.375</v>
      </c>
      <c r="AR3" s="13">
        <f>AP3/AQ3</f>
        <v>158.84504304096663</v>
      </c>
      <c r="AS3" s="90">
        <v>6919676.3600000003</v>
      </c>
      <c r="AT3" s="351">
        <v>45400</v>
      </c>
      <c r="AU3" s="13">
        <f>AS3/AT3</f>
        <v>152.41577885462556</v>
      </c>
      <c r="AV3" s="11">
        <v>7043154.0499999998</v>
      </c>
      <c r="AW3" s="351">
        <v>47985.333333333336</v>
      </c>
      <c r="AX3" s="13">
        <v>146.77722463808385</v>
      </c>
      <c r="AY3" s="11">
        <v>7414005.4000000004</v>
      </c>
      <c r="AZ3" s="351">
        <v>50400.416666666672</v>
      </c>
      <c r="BA3" s="13">
        <v>147.10206562445745</v>
      </c>
      <c r="BB3" s="11">
        <v>7414005.4000000004</v>
      </c>
      <c r="BC3" s="351">
        <v>50400.416666666672</v>
      </c>
      <c r="BD3" s="13">
        <v>147.10206562445745</v>
      </c>
      <c r="BE3" s="937">
        <f>'[1]BILLING RATE CALC'!C27</f>
        <v>9013820.6099999994</v>
      </c>
      <c r="BF3" s="938">
        <f>'[1]BILLING RATE CALC'!D27</f>
        <v>38629.166666666664</v>
      </c>
      <c r="BG3" s="939">
        <f>BE3/BF3</f>
        <v>233.34235210872615</v>
      </c>
      <c r="BH3" s="742">
        <f>'BILLING RATE CALC'!C27</f>
        <v>9298078.4100000001</v>
      </c>
      <c r="BI3" s="743">
        <f>'BILLING RATE CALC'!D27</f>
        <v>39162</v>
      </c>
      <c r="BJ3" s="744">
        <f>BH3/BI3</f>
        <v>237.42603569787039</v>
      </c>
    </row>
    <row r="4" spans="1:62" x14ac:dyDescent="0.2">
      <c r="A4" s="1" t="s">
        <v>24</v>
      </c>
      <c r="B4" s="11">
        <v>6843374.9000000004</v>
      </c>
      <c r="C4" s="12">
        <v>76108.583333333343</v>
      </c>
      <c r="D4" s="13">
        <v>126.16340429202303</v>
      </c>
      <c r="E4" s="1"/>
      <c r="F4" s="11">
        <v>7166991.0900000008</v>
      </c>
      <c r="G4" s="12">
        <v>76595.645416666666</v>
      </c>
      <c r="H4" s="13">
        <v>131.22652888085605</v>
      </c>
      <c r="I4" s="11">
        <v>7295965.2699999996</v>
      </c>
      <c r="J4" s="12">
        <v>78110</v>
      </c>
      <c r="K4" s="13">
        <v>130.06942554724256</v>
      </c>
      <c r="L4" s="11">
        <v>7181710.9500000002</v>
      </c>
      <c r="M4" s="12">
        <v>77958</v>
      </c>
      <c r="N4" s="13">
        <v>127.63424977806429</v>
      </c>
      <c r="O4" s="11">
        <v>8221892.419999999</v>
      </c>
      <c r="P4" s="12">
        <v>81829.350000000006</v>
      </c>
      <c r="Q4" s="13">
        <v>130.76218836079624</v>
      </c>
      <c r="R4" s="11">
        <v>8758697.8399999999</v>
      </c>
      <c r="S4" s="12">
        <v>103600.07916666666</v>
      </c>
      <c r="T4" s="13">
        <v>125.83703422768252</v>
      </c>
      <c r="U4" s="11">
        <v>10231800.85</v>
      </c>
      <c r="V4" s="12">
        <v>101283</v>
      </c>
      <c r="W4" s="75">
        <v>142.06</v>
      </c>
      <c r="X4" s="82">
        <v>10195355.860000001</v>
      </c>
      <c r="Y4" s="12">
        <v>109736</v>
      </c>
      <c r="Z4" s="75">
        <v>133.26</v>
      </c>
      <c r="AA4" s="11">
        <v>9743300.9699999988</v>
      </c>
      <c r="AB4" s="12">
        <v>94790</v>
      </c>
      <c r="AC4" s="19">
        <v>102.78827903787318</v>
      </c>
      <c r="AD4" s="1046">
        <v>10284011.459999999</v>
      </c>
      <c r="AE4" s="1046">
        <v>107202.93333333332</v>
      </c>
      <c r="AF4" s="1046">
        <v>95.930317764936788</v>
      </c>
      <c r="AG4" s="1051">
        <v>10008008.399999999</v>
      </c>
      <c r="AH4" s="1051">
        <v>101125.68333333333</v>
      </c>
      <c r="AI4" s="1051">
        <v>98.966039784485986</v>
      </c>
      <c r="AJ4" s="90">
        <v>11263994.270000001</v>
      </c>
      <c r="AK4" s="12">
        <v>101981.62999999999</v>
      </c>
      <c r="AL4" s="19">
        <v>110.45120841861424</v>
      </c>
      <c r="AM4" s="270">
        <v>11577121.589999998</v>
      </c>
      <c r="AN4" s="351">
        <v>100018.51666666668</v>
      </c>
      <c r="AO4" s="19">
        <f>AM4/AN4</f>
        <v>115.74978289853325</v>
      </c>
      <c r="AP4" s="603">
        <v>11556642.350000001</v>
      </c>
      <c r="AQ4" s="607">
        <v>98918.041666666686</v>
      </c>
      <c r="AR4" s="19">
        <f>AP4/AQ4</f>
        <v>116.83048062095176</v>
      </c>
      <c r="AS4" s="90">
        <v>12690107.84</v>
      </c>
      <c r="AT4" s="418">
        <v>98386</v>
      </c>
      <c r="AU4" s="19">
        <f>AS4/AT4</f>
        <v>128.98286178927896</v>
      </c>
      <c r="AV4" s="11">
        <v>12994397.160000002</v>
      </c>
      <c r="AW4" s="418">
        <v>95268.041666666657</v>
      </c>
      <c r="AX4" s="19">
        <v>136.39828144537805</v>
      </c>
      <c r="AY4" s="11">
        <v>12840059.98</v>
      </c>
      <c r="AZ4" s="418">
        <v>99313.458333333343</v>
      </c>
      <c r="BA4" s="19">
        <v>129.2882172817296</v>
      </c>
      <c r="BB4" s="11">
        <v>12840059.98</v>
      </c>
      <c r="BC4" s="418">
        <v>99313.458333333343</v>
      </c>
      <c r="BD4" s="19">
        <v>129.2882172817296</v>
      </c>
      <c r="BE4" s="937">
        <f>'[1]BILLING RATE CALC'!C28</f>
        <v>15743845.16</v>
      </c>
      <c r="BF4" s="418">
        <f>'[1]BILLING RATE CALC'!D28</f>
        <v>86669.25</v>
      </c>
      <c r="BG4" s="19">
        <f>BE4/BF4</f>
        <v>181.65433714956575</v>
      </c>
      <c r="BH4" s="742">
        <f>'BILLING RATE CALC'!C28</f>
        <v>15667147.390000001</v>
      </c>
      <c r="BI4" s="745">
        <f>'BILLING RATE CALC'!D28</f>
        <v>82167</v>
      </c>
      <c r="BJ4" s="746">
        <f>BH4/BI4</f>
        <v>190.67444825781641</v>
      </c>
    </row>
    <row r="5" spans="1:62" x14ac:dyDescent="0.2">
      <c r="A5" s="389" t="s">
        <v>342</v>
      </c>
      <c r="B5" s="11"/>
      <c r="C5" s="12"/>
      <c r="D5" s="13"/>
      <c r="E5" s="1"/>
      <c r="F5" s="11"/>
      <c r="G5" s="12"/>
      <c r="H5" s="13"/>
      <c r="I5" s="11"/>
      <c r="J5" s="12"/>
      <c r="K5" s="13"/>
      <c r="L5" s="11"/>
      <c r="M5" s="12"/>
      <c r="N5" s="13"/>
      <c r="O5" s="11"/>
      <c r="P5" s="12"/>
      <c r="Q5" s="13"/>
      <c r="R5" s="11"/>
      <c r="S5" s="12"/>
      <c r="T5" s="13"/>
      <c r="U5" s="390" t="s">
        <v>363</v>
      </c>
      <c r="V5" s="12"/>
      <c r="W5" s="75"/>
      <c r="X5" s="82" t="s">
        <v>238</v>
      </c>
      <c r="Y5" s="82" t="s">
        <v>238</v>
      </c>
      <c r="Z5" s="82" t="s">
        <v>238</v>
      </c>
      <c r="AA5" s="82" t="s">
        <v>238</v>
      </c>
      <c r="AB5" s="82" t="s">
        <v>238</v>
      </c>
      <c r="AC5" s="82" t="s">
        <v>238</v>
      </c>
      <c r="AD5" s="1046" t="s">
        <v>974</v>
      </c>
      <c r="AE5" s="1046" t="s">
        <v>975</v>
      </c>
      <c r="AF5" s="1046" t="s">
        <v>976</v>
      </c>
      <c r="AG5" s="1051" t="s">
        <v>238</v>
      </c>
      <c r="AH5" s="1051" t="s">
        <v>364</v>
      </c>
      <c r="AI5" s="1044"/>
      <c r="AJ5" s="90">
        <v>0</v>
      </c>
      <c r="AK5" s="12">
        <v>0</v>
      </c>
      <c r="AL5" s="19">
        <v>0</v>
      </c>
      <c r="AM5" s="270">
        <v>46469734.969999999</v>
      </c>
      <c r="AN5" s="351">
        <v>453733.32500000001</v>
      </c>
      <c r="AO5" s="19">
        <f t="shared" ref="AO5:AO11" si="0">AM5/AN5</f>
        <v>102.41640278460922</v>
      </c>
      <c r="AP5" s="603">
        <v>44848433.690000005</v>
      </c>
      <c r="AQ5" s="607">
        <v>459224.74999999994</v>
      </c>
      <c r="AR5" s="19">
        <f t="shared" ref="AR5:AR10" si="1">AP5/AQ5</f>
        <v>97.661185922579321</v>
      </c>
      <c r="AS5" s="90">
        <v>40528059.530000001</v>
      </c>
      <c r="AT5" s="418">
        <v>486837</v>
      </c>
      <c r="AU5" s="19">
        <f t="shared" ref="AU5:AU9" si="2">AS5/AT5</f>
        <v>83.247697956400188</v>
      </c>
      <c r="AV5" s="11">
        <v>40797542.149999999</v>
      </c>
      <c r="AW5" s="418">
        <v>481404.58333333326</v>
      </c>
      <c r="AX5" s="19">
        <v>84.746891829550862</v>
      </c>
      <c r="AY5" s="11">
        <v>47650705.399999999</v>
      </c>
      <c r="AZ5" s="418">
        <v>465289.83333333343</v>
      </c>
      <c r="BA5" s="19">
        <v>102.41080287233152</v>
      </c>
      <c r="BB5" s="11">
        <v>47650705.399999999</v>
      </c>
      <c r="BC5" s="418">
        <v>465289.83333333343</v>
      </c>
      <c r="BD5" s="19">
        <v>102.41080287233152</v>
      </c>
      <c r="BE5" s="937">
        <f>'[1]BILLING RATE CALC'!C29</f>
        <v>50786863.929999992</v>
      </c>
      <c r="BF5" s="418">
        <f>'[1]BILLING RATE CALC'!D29</f>
        <v>475950.87500000006</v>
      </c>
      <c r="BG5" s="19">
        <f t="shared" ref="BG5:BG10" si="3">BE5/BF5</f>
        <v>106.70610476343801</v>
      </c>
      <c r="BH5" s="742">
        <f>'BILLING RATE CALC'!C29</f>
        <v>51303233.25</v>
      </c>
      <c r="BI5" s="745">
        <f>'BILLING RATE CALC'!D29</f>
        <v>451827</v>
      </c>
      <c r="BJ5" s="746">
        <f t="shared" ref="BJ5:BJ9" si="4">BH5/BI5</f>
        <v>113.54618747883593</v>
      </c>
    </row>
    <row r="6" spans="1:62" x14ac:dyDescent="0.2">
      <c r="A6" s="389" t="s">
        <v>695</v>
      </c>
      <c r="B6" s="11">
        <v>7142287.0600000005</v>
      </c>
      <c r="C6" s="12">
        <v>105991.13333333335</v>
      </c>
      <c r="D6" s="13">
        <v>103.63316641167151</v>
      </c>
      <c r="E6" s="1"/>
      <c r="F6" s="11">
        <v>7299380.0100000007</v>
      </c>
      <c r="G6" s="12">
        <v>103376.09083333332</v>
      </c>
      <c r="H6" s="13">
        <v>108.26730152323337</v>
      </c>
      <c r="I6" s="11">
        <v>7299380.0100000007</v>
      </c>
      <c r="J6" s="12">
        <v>103295</v>
      </c>
      <c r="K6" s="13">
        <v>107.32851204571601</v>
      </c>
      <c r="L6" s="11">
        <v>7398555.71</v>
      </c>
      <c r="M6" s="12">
        <v>107970</v>
      </c>
      <c r="N6" s="13">
        <v>104.03560783135765</v>
      </c>
      <c r="O6" s="11">
        <v>7697246.9099999992</v>
      </c>
      <c r="P6" s="12">
        <v>113687.97958333335</v>
      </c>
      <c r="Q6" s="13">
        <v>97.991126912776693</v>
      </c>
      <c r="R6" s="11">
        <v>8564813.7899999991</v>
      </c>
      <c r="S6" s="12">
        <v>122196.67708333333</v>
      </c>
      <c r="T6" s="13">
        <v>111.38408187049444</v>
      </c>
      <c r="U6" s="11">
        <v>9796565.5199999996</v>
      </c>
      <c r="V6" s="12">
        <v>121011</v>
      </c>
      <c r="W6" s="75">
        <v>122</v>
      </c>
      <c r="X6" s="82">
        <v>9668374.5</v>
      </c>
      <c r="Y6" s="12">
        <v>140284</v>
      </c>
      <c r="Z6" s="75">
        <v>109.27</v>
      </c>
      <c r="AA6" s="11">
        <v>9905372.1500000004</v>
      </c>
      <c r="AB6" s="12">
        <v>129251</v>
      </c>
      <c r="AC6" s="19">
        <v>76.63671577009076</v>
      </c>
      <c r="AD6" s="1037">
        <v>10581088.6</v>
      </c>
      <c r="AE6" s="1038">
        <v>139120.66249999998</v>
      </c>
      <c r="AF6" s="1036">
        <v>76.0569164195865</v>
      </c>
      <c r="AG6" s="1051">
        <v>10367304.35</v>
      </c>
      <c r="AH6" s="1052">
        <v>146938.35416666669</v>
      </c>
      <c r="AI6" s="1050">
        <v>70.555468031449124</v>
      </c>
      <c r="AJ6" s="90">
        <v>11545267.449999999</v>
      </c>
      <c r="AK6" s="12">
        <v>151887.25499999995</v>
      </c>
      <c r="AL6" s="19">
        <v>76.012088374366911</v>
      </c>
      <c r="AM6" s="270">
        <v>12740801.75</v>
      </c>
      <c r="AN6" s="351">
        <v>153873.96250000002</v>
      </c>
      <c r="AO6" s="19">
        <f t="shared" si="0"/>
        <v>82.800244713266537</v>
      </c>
      <c r="AP6" s="603">
        <v>12729365.569999998</v>
      </c>
      <c r="AQ6" s="607">
        <v>135904.70833333334</v>
      </c>
      <c r="AR6" s="19">
        <f t="shared" si="1"/>
        <v>93.663904114187829</v>
      </c>
      <c r="AS6" s="90">
        <v>14155036.83</v>
      </c>
      <c r="AT6" s="418">
        <v>113162</v>
      </c>
      <c r="AU6" s="19">
        <f t="shared" si="2"/>
        <v>125.0864851275163</v>
      </c>
      <c r="AV6" s="11">
        <v>14859856.050000001</v>
      </c>
      <c r="AW6" s="418">
        <v>115078.41666666666</v>
      </c>
      <c r="AX6" s="19">
        <v>129.12808917976946</v>
      </c>
      <c r="AY6" s="11">
        <v>15355871.399999999</v>
      </c>
      <c r="AZ6" s="418">
        <v>113551.50000000003</v>
      </c>
      <c r="BA6" s="19">
        <v>135.23266007054062</v>
      </c>
      <c r="BB6" s="11">
        <v>15355871.399999999</v>
      </c>
      <c r="BC6" s="418">
        <v>113551.50000000003</v>
      </c>
      <c r="BD6" s="19">
        <v>135.23266007054062</v>
      </c>
      <c r="BE6" s="937">
        <f>'[1]BILLING RATE CALC'!C30</f>
        <v>19443168.969999999</v>
      </c>
      <c r="BF6" s="418">
        <f>'[1]BILLING RATE CALC'!D30</f>
        <v>126782.74999999999</v>
      </c>
      <c r="BG6" s="19">
        <f t="shared" si="3"/>
        <v>153.35815771467333</v>
      </c>
      <c r="BH6" s="742">
        <f>'BILLING RATE CALC'!C30</f>
        <v>20394893.280000001</v>
      </c>
      <c r="BI6" s="745">
        <f>'BILLING RATE CALC'!D30</f>
        <v>126575</v>
      </c>
      <c r="BJ6" s="746">
        <f t="shared" si="4"/>
        <v>161.12892182500494</v>
      </c>
    </row>
    <row r="7" spans="1:62" x14ac:dyDescent="0.2">
      <c r="A7" s="1" t="s">
        <v>15</v>
      </c>
      <c r="B7" s="11">
        <v>2759922.38</v>
      </c>
      <c r="C7" s="12">
        <v>20514.825000000001</v>
      </c>
      <c r="D7" s="13">
        <v>170.78053276375562</v>
      </c>
      <c r="E7" s="1"/>
      <c r="F7" s="11">
        <v>2953749.72</v>
      </c>
      <c r="G7" s="12">
        <v>20327.367083333338</v>
      </c>
      <c r="H7" s="13">
        <v>182.96637383175121</v>
      </c>
      <c r="I7" s="11">
        <v>2953749.72</v>
      </c>
      <c r="J7" s="12">
        <v>20440</v>
      </c>
      <c r="K7" s="13">
        <v>181.17143941047573</v>
      </c>
      <c r="L7" s="11">
        <v>2733184.2</v>
      </c>
      <c r="M7" s="12">
        <v>21594</v>
      </c>
      <c r="N7" s="13">
        <v>162.08289216959975</v>
      </c>
      <c r="O7" s="11">
        <v>2914942.68</v>
      </c>
      <c r="P7" s="12">
        <v>23087.071249999997</v>
      </c>
      <c r="Q7" s="13">
        <v>156.54476712961858</v>
      </c>
      <c r="R7" s="11">
        <v>3148961.34</v>
      </c>
      <c r="S7" s="12">
        <v>23551.89875</v>
      </c>
      <c r="T7" s="13">
        <v>174.99676072487296</v>
      </c>
      <c r="U7" s="11">
        <v>3501265.65</v>
      </c>
      <c r="V7" s="12">
        <v>21658</v>
      </c>
      <c r="W7" s="75">
        <v>202.7</v>
      </c>
      <c r="X7" s="82">
        <v>3732359.16</v>
      </c>
      <c r="Y7" s="12">
        <v>21250</v>
      </c>
      <c r="Z7" s="75">
        <v>215.99</v>
      </c>
      <c r="AA7" s="11">
        <v>3618116.89</v>
      </c>
      <c r="AB7" s="12">
        <v>17189</v>
      </c>
      <c r="AC7" s="19">
        <v>210.49024899645124</v>
      </c>
      <c r="AD7" s="1037">
        <v>3935511.29</v>
      </c>
      <c r="AE7" s="1038">
        <v>22008.04</v>
      </c>
      <c r="AF7" s="1036">
        <v>178.82152567879737</v>
      </c>
      <c r="AG7" s="1051">
        <v>4110405.23</v>
      </c>
      <c r="AH7" s="1052">
        <v>23030.283333333336</v>
      </c>
      <c r="AI7" s="1050">
        <v>178.47827447483999</v>
      </c>
      <c r="AJ7" s="90">
        <v>4466229.3800000008</v>
      </c>
      <c r="AK7" s="12">
        <v>23195.555000000004</v>
      </c>
      <c r="AL7" s="19">
        <v>192.54677803570556</v>
      </c>
      <c r="AM7" s="270">
        <v>4477204.46</v>
      </c>
      <c r="AN7" s="351">
        <v>24480.245833333338</v>
      </c>
      <c r="AO7" s="19">
        <f t="shared" si="0"/>
        <v>182.89050242721211</v>
      </c>
      <c r="AP7" s="603">
        <v>4646328.21</v>
      </c>
      <c r="AQ7" s="607">
        <v>19545.749999999996</v>
      </c>
      <c r="AR7" s="19">
        <f t="shared" si="1"/>
        <v>237.71552434672503</v>
      </c>
      <c r="AS7" s="90">
        <v>4602921.4400000004</v>
      </c>
      <c r="AT7" s="418">
        <v>18922</v>
      </c>
      <c r="AU7" s="19">
        <f t="shared" si="2"/>
        <v>243.25765986682171</v>
      </c>
      <c r="AV7" s="11">
        <v>4705407.72</v>
      </c>
      <c r="AW7" s="418">
        <v>19667.416666666668</v>
      </c>
      <c r="AX7" s="19">
        <v>239.24889576244971</v>
      </c>
      <c r="AY7" s="11">
        <v>5178767.91</v>
      </c>
      <c r="AZ7" s="418">
        <v>21617.125</v>
      </c>
      <c r="BA7" s="19">
        <v>239.56783846140502</v>
      </c>
      <c r="BB7" s="11">
        <v>5178767.91</v>
      </c>
      <c r="BC7" s="418">
        <v>21617.125</v>
      </c>
      <c r="BD7" s="19">
        <v>239.56783846140502</v>
      </c>
      <c r="BE7" s="937">
        <f>'[1]BILLING RATE CALC'!C31</f>
        <v>5489561.1299999999</v>
      </c>
      <c r="BF7" s="418">
        <f>'[1]BILLING RATE CALC'!D31</f>
        <v>18219.583333333332</v>
      </c>
      <c r="BG7" s="19">
        <f t="shared" si="3"/>
        <v>301.3000368650948</v>
      </c>
      <c r="BH7" s="742">
        <f>'BILLING RATE CALC'!C31</f>
        <v>5870797.3999999994</v>
      </c>
      <c r="BI7" s="745">
        <f>'BILLING RATE CALC'!D31</f>
        <v>18666</v>
      </c>
      <c r="BJ7" s="746">
        <f t="shared" si="4"/>
        <v>314.51823636558447</v>
      </c>
    </row>
    <row r="8" spans="1:62" x14ac:dyDescent="0.2">
      <c r="A8" s="389" t="s">
        <v>16</v>
      </c>
      <c r="B8" s="11">
        <v>5827761.3599999994</v>
      </c>
      <c r="C8" s="12">
        <v>61079.708333333336</v>
      </c>
      <c r="D8" s="13">
        <v>131.65985981235076</v>
      </c>
      <c r="E8" s="1"/>
      <c r="F8" s="11">
        <v>6041167.71</v>
      </c>
      <c r="G8" s="12">
        <v>60596.174583333333</v>
      </c>
      <c r="H8" s="13">
        <v>137.35288676576835</v>
      </c>
      <c r="I8" s="11">
        <v>6041167.71</v>
      </c>
      <c r="J8" s="12">
        <v>60590</v>
      </c>
      <c r="K8" s="13">
        <v>136.36882530630956</v>
      </c>
      <c r="L8" s="11">
        <v>5955706.8499999996</v>
      </c>
      <c r="M8" s="12">
        <v>61854</v>
      </c>
      <c r="N8" s="13">
        <v>131.79795501852831</v>
      </c>
      <c r="O8" s="11">
        <v>6103915.25</v>
      </c>
      <c r="P8" s="12">
        <v>65060.945833333324</v>
      </c>
      <c r="Q8" s="13">
        <v>124.10452876467015</v>
      </c>
      <c r="R8" s="11">
        <v>6622277.96</v>
      </c>
      <c r="S8" s="12">
        <v>72068.945833333331</v>
      </c>
      <c r="T8" s="13">
        <v>133.18177587264827</v>
      </c>
      <c r="U8" s="11">
        <v>7491800.2199999997</v>
      </c>
      <c r="V8" s="12">
        <v>70195</v>
      </c>
      <c r="W8" s="75">
        <v>147.77000000000001</v>
      </c>
      <c r="X8" s="82">
        <v>7881180.6600000001</v>
      </c>
      <c r="Y8" s="12">
        <v>75821</v>
      </c>
      <c r="Z8" s="75">
        <v>144.29</v>
      </c>
      <c r="AA8" s="11">
        <v>7690593.1700000009</v>
      </c>
      <c r="AB8" s="12">
        <v>73065</v>
      </c>
      <c r="AC8" s="19">
        <v>105.2568694997605</v>
      </c>
      <c r="AD8" s="1037">
        <v>8262094.5700000003</v>
      </c>
      <c r="AE8" s="1038">
        <v>77820.737500000003</v>
      </c>
      <c r="AF8" s="1036">
        <v>106.16828926865414</v>
      </c>
      <c r="AG8" s="1051">
        <v>8336468.459999999</v>
      </c>
      <c r="AH8" s="1052">
        <v>83881.5625</v>
      </c>
      <c r="AI8" s="1050">
        <v>99.38380034349025</v>
      </c>
      <c r="AJ8" s="90">
        <v>9182902.6799999997</v>
      </c>
      <c r="AK8" s="12">
        <v>85682.125000000015</v>
      </c>
      <c r="AL8" s="19">
        <v>107.17407720688531</v>
      </c>
      <c r="AM8" s="270">
        <v>10195510.209999999</v>
      </c>
      <c r="AN8" s="351">
        <v>87468.904166666674</v>
      </c>
      <c r="AO8" s="19">
        <f t="shared" si="0"/>
        <v>116.56154043696574</v>
      </c>
      <c r="AP8" s="603">
        <v>9970901.6500000004</v>
      </c>
      <c r="AQ8" s="607">
        <v>81647.458333333343</v>
      </c>
      <c r="AR8" s="19">
        <f t="shared" si="1"/>
        <v>122.12139671626846</v>
      </c>
      <c r="AS8" s="90">
        <v>10625941.800000001</v>
      </c>
      <c r="AT8" s="418">
        <v>76084</v>
      </c>
      <c r="AU8" s="19">
        <f t="shared" si="2"/>
        <v>139.66066190000527</v>
      </c>
      <c r="AV8" s="11">
        <v>10760822.199999999</v>
      </c>
      <c r="AW8" s="418">
        <v>81172.958333333343</v>
      </c>
      <c r="AX8" s="19">
        <v>132.56658893484126</v>
      </c>
      <c r="AY8" s="11">
        <v>11282097.35</v>
      </c>
      <c r="AZ8" s="418">
        <v>81428.458333333328</v>
      </c>
      <c r="BA8" s="19">
        <v>138.55226515299984</v>
      </c>
      <c r="BB8" s="11">
        <v>11282097.35</v>
      </c>
      <c r="BC8" s="418">
        <v>81428.458333333328</v>
      </c>
      <c r="BD8" s="19">
        <v>138.55226515299984</v>
      </c>
      <c r="BE8" s="937">
        <f>'[1]BILLING RATE CALC'!C32</f>
        <v>13135719.550000001</v>
      </c>
      <c r="BF8" s="418">
        <f>'[1]BILLING RATE CALC'!D32</f>
        <v>51699.208333333336</v>
      </c>
      <c r="BG8" s="19">
        <f t="shared" si="3"/>
        <v>254.07970399288834</v>
      </c>
      <c r="BH8" s="742">
        <f>'BILLING RATE CALC'!C32</f>
        <v>13901764.27</v>
      </c>
      <c r="BI8" s="745">
        <f>'BILLING RATE CALC'!D32</f>
        <v>38521.5</v>
      </c>
      <c r="BJ8" s="746">
        <f t="shared" si="4"/>
        <v>360.88325402697194</v>
      </c>
    </row>
    <row r="9" spans="1:62" x14ac:dyDescent="0.2">
      <c r="A9" s="1" t="s">
        <v>17</v>
      </c>
      <c r="B9" s="11">
        <v>2699075.64</v>
      </c>
      <c r="C9" s="12">
        <v>30399.32916666667</v>
      </c>
      <c r="D9" s="13">
        <v>125.03480529704403</v>
      </c>
      <c r="E9" s="1"/>
      <c r="F9" s="11">
        <v>2708207.76</v>
      </c>
      <c r="G9" s="12">
        <v>29603.233750000003</v>
      </c>
      <c r="H9" s="13">
        <v>129.14086826467116</v>
      </c>
      <c r="I9" s="11">
        <v>2708207.76</v>
      </c>
      <c r="J9" s="12">
        <v>29565</v>
      </c>
      <c r="K9" s="13">
        <v>128.26495444997707</v>
      </c>
      <c r="L9" s="11">
        <v>2764083.17</v>
      </c>
      <c r="M9" s="12">
        <v>31842</v>
      </c>
      <c r="N9" s="13">
        <v>122.31763257215944</v>
      </c>
      <c r="O9" s="11">
        <v>3048248.56</v>
      </c>
      <c r="P9" s="12">
        <v>34806.460833333331</v>
      </c>
      <c r="Q9" s="13">
        <v>117.86319730306413</v>
      </c>
      <c r="R9" s="11">
        <v>3317571.4</v>
      </c>
      <c r="S9" s="12">
        <v>36446.101666666669</v>
      </c>
      <c r="T9" s="13">
        <v>132.32046672808139</v>
      </c>
      <c r="U9" s="11">
        <v>3707178.25</v>
      </c>
      <c r="V9" s="12">
        <v>38410</v>
      </c>
      <c r="W9" s="75">
        <v>137.56</v>
      </c>
      <c r="X9" s="82">
        <v>3925122.09</v>
      </c>
      <c r="Y9" s="12">
        <v>41410</v>
      </c>
      <c r="Z9" s="75">
        <v>135.13999999999999</v>
      </c>
      <c r="AA9" s="11">
        <v>4091395.22</v>
      </c>
      <c r="AB9" s="12">
        <v>37712</v>
      </c>
      <c r="AC9" s="19">
        <v>108.49053935086975</v>
      </c>
      <c r="AD9" s="1037">
        <v>4241143.1099999994</v>
      </c>
      <c r="AE9" s="1038">
        <v>38900.118333333325</v>
      </c>
      <c r="AF9" s="1036">
        <v>109.02648350984023</v>
      </c>
      <c r="AG9" s="1051">
        <v>4240361.3600000003</v>
      </c>
      <c r="AH9" s="1052">
        <v>37470.59583333334</v>
      </c>
      <c r="AI9" s="1050">
        <v>113.1650368961529</v>
      </c>
      <c r="AJ9" s="90">
        <v>4486136.8899999997</v>
      </c>
      <c r="AK9" s="12">
        <v>35165.584999999999</v>
      </c>
      <c r="AL9" s="19">
        <v>127.57179754012338</v>
      </c>
      <c r="AM9" s="270">
        <v>4846980.1399999997</v>
      </c>
      <c r="AN9" s="351">
        <v>38009.275000000001</v>
      </c>
      <c r="AO9" s="19">
        <f t="shared" si="0"/>
        <v>127.52098375988491</v>
      </c>
      <c r="AP9" s="603">
        <v>5095669.38</v>
      </c>
      <c r="AQ9" s="607">
        <v>36630.791666666657</v>
      </c>
      <c r="AR9" s="19">
        <f t="shared" si="1"/>
        <v>139.10890669166085</v>
      </c>
      <c r="AS9" s="90">
        <v>6495487.2400000002</v>
      </c>
      <c r="AT9" s="418">
        <v>31837</v>
      </c>
      <c r="AU9" s="19">
        <f t="shared" si="2"/>
        <v>204.02321952445268</v>
      </c>
      <c r="AV9" s="11">
        <v>6541857.9800000004</v>
      </c>
      <c r="AW9" s="418">
        <v>29838.749999999996</v>
      </c>
      <c r="AX9" s="19">
        <v>219.24034954547363</v>
      </c>
      <c r="AY9" s="11">
        <v>7256601.5999999996</v>
      </c>
      <c r="AZ9" s="418">
        <v>34483.375</v>
      </c>
      <c r="BA9" s="19">
        <v>210.43768482638373</v>
      </c>
      <c r="BB9" s="11">
        <v>7256601.5999999996</v>
      </c>
      <c r="BC9" s="418">
        <v>34483.375</v>
      </c>
      <c r="BD9" s="19">
        <v>210.43768482638373</v>
      </c>
      <c r="BE9" s="937">
        <f>'[1]BILLING RATE CALC'!C33</f>
        <v>8146283.6799999997</v>
      </c>
      <c r="BF9" s="418">
        <f>'[1]BILLING RATE CALC'!D33</f>
        <v>29914.791666666664</v>
      </c>
      <c r="BG9" s="19">
        <f t="shared" si="3"/>
        <v>272.31624310715853</v>
      </c>
      <c r="BH9" s="742">
        <f>'BILLING RATE CALC'!C33</f>
        <v>8774548.5700000003</v>
      </c>
      <c r="BI9" s="745">
        <f>'BILLING RATE CALC'!D33</f>
        <v>30134</v>
      </c>
      <c r="BJ9" s="746">
        <f t="shared" si="4"/>
        <v>291.18432899714611</v>
      </c>
    </row>
    <row r="10" spans="1:62" x14ac:dyDescent="0.2">
      <c r="A10" s="1" t="s">
        <v>18</v>
      </c>
      <c r="B10" s="11">
        <v>8207261.5800000001</v>
      </c>
      <c r="C10" s="12">
        <v>143569.70833333334</v>
      </c>
      <c r="D10" s="13">
        <v>93.413154117471635</v>
      </c>
      <c r="E10" s="1"/>
      <c r="F10" s="11">
        <v>8311351.2000000002</v>
      </c>
      <c r="G10" s="12">
        <v>140173.07916666666</v>
      </c>
      <c r="H10" s="13">
        <v>96.950848221157017</v>
      </c>
      <c r="I10" s="11">
        <v>8311351.2000000002</v>
      </c>
      <c r="J10" s="12">
        <v>140160</v>
      </c>
      <c r="K10" s="13">
        <v>95.962160056268303</v>
      </c>
      <c r="L10" s="11">
        <v>8446993.709999999</v>
      </c>
      <c r="M10" s="12">
        <v>140544</v>
      </c>
      <c r="N10" s="13">
        <v>95.613557527309055</v>
      </c>
      <c r="O10" s="11">
        <v>8922253.379999999</v>
      </c>
      <c r="P10" s="12">
        <v>143667.65</v>
      </c>
      <c r="Q10" s="13">
        <v>92.389533864531998</v>
      </c>
      <c r="R10" s="11">
        <v>9956649.9399999995</v>
      </c>
      <c r="S10" s="12">
        <v>148299.5</v>
      </c>
      <c r="T10" s="13">
        <v>108.43247981016688</v>
      </c>
      <c r="U10" s="11">
        <v>10900064.17</v>
      </c>
      <c r="V10" s="12">
        <v>143253</v>
      </c>
      <c r="W10" s="75">
        <v>117.13</v>
      </c>
      <c r="X10" s="82">
        <v>11838881.150000002</v>
      </c>
      <c r="Y10" s="12">
        <v>152147</v>
      </c>
      <c r="Z10" s="75">
        <v>118.16</v>
      </c>
      <c r="AA10" s="11">
        <v>12051609.629999999</v>
      </c>
      <c r="AB10" s="12">
        <v>161728</v>
      </c>
      <c r="AC10" s="19">
        <v>74.51776828996833</v>
      </c>
      <c r="AD10" s="1037">
        <v>12507800.459999999</v>
      </c>
      <c r="AE10" s="1038">
        <v>182553.53333333335</v>
      </c>
      <c r="AF10" s="1036">
        <v>68.515794964983769</v>
      </c>
      <c r="AG10" s="1051">
        <v>12108368.67</v>
      </c>
      <c r="AH10" s="1052">
        <v>183526.5625</v>
      </c>
      <c r="AI10" s="1050">
        <v>65.976109970457273</v>
      </c>
      <c r="AJ10" s="90">
        <v>13367392.849999998</v>
      </c>
      <c r="AK10" s="12">
        <v>183184.52499999999</v>
      </c>
      <c r="AL10" s="19">
        <v>72.972282183770702</v>
      </c>
      <c r="AM10" s="270">
        <v>13418699.330000002</v>
      </c>
      <c r="AN10" s="351">
        <v>183310.90833333333</v>
      </c>
      <c r="AO10" s="19">
        <f t="shared" si="0"/>
        <v>73.201859354705633</v>
      </c>
      <c r="AP10" s="603">
        <v>13075634.860000001</v>
      </c>
      <c r="AQ10" s="607">
        <v>180115.33333333334</v>
      </c>
      <c r="AR10" s="19">
        <f t="shared" si="1"/>
        <v>72.595900737675493</v>
      </c>
      <c r="AS10" s="90">
        <v>94820.73</v>
      </c>
      <c r="AT10" s="418">
        <v>0</v>
      </c>
      <c r="AU10" s="19">
        <v>0</v>
      </c>
      <c r="AV10" s="11">
        <v>0</v>
      </c>
      <c r="AW10" s="418">
        <v>0</v>
      </c>
      <c r="AX10" s="19">
        <v>0</v>
      </c>
      <c r="AY10" s="11">
        <v>0</v>
      </c>
      <c r="AZ10" s="418">
        <v>0</v>
      </c>
      <c r="BA10" s="19">
        <v>0</v>
      </c>
      <c r="BB10" s="11">
        <v>0</v>
      </c>
      <c r="BC10" s="418">
        <v>0</v>
      </c>
      <c r="BD10" s="19">
        <v>0</v>
      </c>
      <c r="BE10" s="937">
        <f>'[1]BILLING RATE CALC'!C34</f>
        <v>17809539.230000004</v>
      </c>
      <c r="BF10" s="418">
        <f>'[1]BILLING RATE CALC'!D34</f>
        <v>163386.16666666669</v>
      </c>
      <c r="BG10" s="19">
        <f t="shared" si="3"/>
        <v>109.00273623735997</v>
      </c>
      <c r="BH10" s="742">
        <f>'BILLING RATE CALC'!C34</f>
        <v>19118156.830000002</v>
      </c>
      <c r="BI10" s="745">
        <f>'BILLING RATE CALC'!D34</f>
        <v>178608</v>
      </c>
      <c r="BJ10" s="746">
        <f>BH10/BI10</f>
        <v>107.03975650586762</v>
      </c>
    </row>
    <row r="11" spans="1:62" x14ac:dyDescent="0.2">
      <c r="A11" s="1" t="s">
        <v>272</v>
      </c>
      <c r="B11" s="11"/>
      <c r="C11" s="12"/>
      <c r="D11" s="13"/>
      <c r="E11" s="1"/>
      <c r="F11" s="11"/>
      <c r="G11" s="12"/>
      <c r="H11" s="13"/>
      <c r="I11" s="14">
        <v>2330932.15</v>
      </c>
      <c r="J11" s="12">
        <v>34310</v>
      </c>
      <c r="K11" s="13">
        <v>104.60053480124061</v>
      </c>
      <c r="L11" s="11">
        <v>2389598.2999999998</v>
      </c>
      <c r="M11" s="12">
        <v>35136</v>
      </c>
      <c r="N11" s="13">
        <v>103.52139770547392</v>
      </c>
      <c r="O11" s="11">
        <v>2644884.66</v>
      </c>
      <c r="P11" s="12">
        <v>35896.989583333328</v>
      </c>
      <c r="Q11" s="13">
        <v>103.96595297988468</v>
      </c>
      <c r="R11" s="11">
        <v>3089261.72</v>
      </c>
      <c r="S11" s="12">
        <v>35735.5075</v>
      </c>
      <c r="T11" s="13">
        <v>127.7416433057989</v>
      </c>
      <c r="U11" s="11">
        <v>3626206.66</v>
      </c>
      <c r="V11" s="12">
        <v>39250</v>
      </c>
      <c r="W11" s="75">
        <v>133.43</v>
      </c>
      <c r="X11" s="82">
        <v>3797182.17</v>
      </c>
      <c r="Y11" s="12">
        <v>44263</v>
      </c>
      <c r="Z11" s="75">
        <v>126.14</v>
      </c>
      <c r="AA11" s="11">
        <v>3906004.53</v>
      </c>
      <c r="AB11" s="12">
        <v>42940</v>
      </c>
      <c r="AC11" s="19">
        <v>90.964241499767112</v>
      </c>
      <c r="AD11" s="1037">
        <v>3769359.6999999997</v>
      </c>
      <c r="AE11" s="1038">
        <v>42361.595833333333</v>
      </c>
      <c r="AF11" s="1036">
        <v>88.980587861470042</v>
      </c>
      <c r="AG11" s="1051">
        <v>3584193.87</v>
      </c>
      <c r="AH11" s="1052">
        <v>43762.587499999994</v>
      </c>
      <c r="AI11" s="1050">
        <v>81.90086726476126</v>
      </c>
      <c r="AJ11" s="90">
        <v>3810246.96</v>
      </c>
      <c r="AK11" s="12">
        <v>40484.480000000003</v>
      </c>
      <c r="AL11" s="19">
        <v>94.116238123843999</v>
      </c>
      <c r="AM11" s="270">
        <v>3051516.9800000004</v>
      </c>
      <c r="AN11" s="351">
        <v>32252.008333333339</v>
      </c>
      <c r="AO11" s="19">
        <f t="shared" si="0"/>
        <v>94.614789518275472</v>
      </c>
      <c r="AP11" s="603">
        <v>206733.59</v>
      </c>
      <c r="AQ11" s="607">
        <v>1460</v>
      </c>
      <c r="AR11" s="19">
        <v>0</v>
      </c>
      <c r="AS11" s="90">
        <v>4294758.95</v>
      </c>
      <c r="AT11" s="418">
        <v>31825</v>
      </c>
      <c r="AU11" s="19">
        <v>0</v>
      </c>
      <c r="AV11" s="11">
        <v>4773916.43</v>
      </c>
      <c r="AW11" s="418">
        <v>37306.041666666679</v>
      </c>
      <c r="AX11" s="19">
        <v>127.96630831690572</v>
      </c>
      <c r="AY11" s="11">
        <v>5354969.1399999997</v>
      </c>
      <c r="AZ11" s="418">
        <v>30307.166666666664</v>
      </c>
      <c r="BA11" s="19">
        <v>176.68986345363859</v>
      </c>
      <c r="BB11" s="11">
        <v>5354969.1399999997</v>
      </c>
      <c r="BC11" s="418">
        <v>30307.166666666664</v>
      </c>
      <c r="BD11" s="19">
        <v>176.68986345363859</v>
      </c>
      <c r="BE11" s="937">
        <f>'[1]BILLING RATE CALC'!C35</f>
        <v>6261926.4699999997</v>
      </c>
      <c r="BF11" s="418">
        <f>'[1]BILLING RATE CALC'!D35</f>
        <v>23469.5</v>
      </c>
      <c r="BG11" s="19">
        <f>BE11/BF11</f>
        <v>266.81124310275038</v>
      </c>
      <c r="BH11" s="742">
        <f>'BILLING RATE CALC'!C35</f>
        <v>6822994.330000001</v>
      </c>
      <c r="BI11" s="745">
        <f>'BILLING RATE CALC'!D35</f>
        <v>23637.5</v>
      </c>
      <c r="BJ11" s="746">
        <f>BH11/BI11</f>
        <v>288.65126726599686</v>
      </c>
    </row>
    <row r="12" spans="1:62" x14ac:dyDescent="0.2">
      <c r="A12" s="389" t="s">
        <v>19</v>
      </c>
      <c r="B12" s="11">
        <v>13586189.510000002</v>
      </c>
      <c r="C12" s="12">
        <v>188029.75</v>
      </c>
      <c r="D12" s="13">
        <v>108.50299456736604</v>
      </c>
      <c r="E12" s="1"/>
      <c r="F12" s="11">
        <v>13814498.580000002</v>
      </c>
      <c r="G12" s="12">
        <v>174111.4483333333</v>
      </c>
      <c r="H12" s="13">
        <v>117.00020757470205</v>
      </c>
      <c r="I12" s="11">
        <v>13814498.580000002</v>
      </c>
      <c r="J12" s="12">
        <v>174105</v>
      </c>
      <c r="K12" s="13">
        <v>116.0089250041446</v>
      </c>
      <c r="L12" s="11">
        <v>14201185</v>
      </c>
      <c r="M12" s="12">
        <v>177144</v>
      </c>
      <c r="N12" s="13">
        <v>115.67889050323544</v>
      </c>
      <c r="O12" s="11">
        <v>15053552.92</v>
      </c>
      <c r="P12" s="12">
        <v>173736.04583333334</v>
      </c>
      <c r="Q12" s="13">
        <v>116.93221929879984</v>
      </c>
      <c r="R12" s="11">
        <v>16269860.390000001</v>
      </c>
      <c r="S12" s="12">
        <v>177677.43750000003</v>
      </c>
      <c r="T12" s="13">
        <v>132.8633312787793</v>
      </c>
      <c r="U12" s="11">
        <v>18421022.010000002</v>
      </c>
      <c r="V12" s="12">
        <v>172897</v>
      </c>
      <c r="W12" s="75">
        <v>147.59</v>
      </c>
      <c r="X12" s="82">
        <v>19526927.620000001</v>
      </c>
      <c r="Y12" s="12">
        <v>196419</v>
      </c>
      <c r="Z12" s="75">
        <v>139.76</v>
      </c>
      <c r="AA12" s="386">
        <v>19044803.41</v>
      </c>
      <c r="AB12" s="12">
        <v>195304</v>
      </c>
      <c r="AC12" s="19">
        <v>97.513637252693243</v>
      </c>
      <c r="AD12" s="1039">
        <v>20860192.940000001</v>
      </c>
      <c r="AE12" s="1038">
        <v>200418.15416666665</v>
      </c>
      <c r="AF12" s="1036">
        <v>104.08335026702611</v>
      </c>
      <c r="AG12" s="1045">
        <v>21259252.710000001</v>
      </c>
      <c r="AH12" s="1038">
        <v>200520</v>
      </c>
      <c r="AI12" s="1050">
        <v>106.02</v>
      </c>
      <c r="AJ12" s="91">
        <v>23701557.920000002</v>
      </c>
      <c r="AK12" s="12">
        <v>198029.48499999999</v>
      </c>
      <c r="AL12" s="19">
        <v>119.68701489073712</v>
      </c>
      <c r="AM12" s="270">
        <v>23895860.159999996</v>
      </c>
      <c r="AN12" s="352">
        <v>168351.07916666666</v>
      </c>
      <c r="AO12" s="19">
        <f>AM12/AN12</f>
        <v>141.94064141604477</v>
      </c>
      <c r="AP12" s="604">
        <v>22390188.989999998</v>
      </c>
      <c r="AQ12" s="607">
        <v>187704.29166666666</v>
      </c>
      <c r="AR12" s="19">
        <f>AP12/AQ12</f>
        <v>119.28437432726076</v>
      </c>
      <c r="AS12" s="91">
        <v>22400760.559999999</v>
      </c>
      <c r="AT12" s="418">
        <v>143332</v>
      </c>
      <c r="AU12" s="19">
        <f>AS12/AT12</f>
        <v>156.28582982167276</v>
      </c>
      <c r="AV12" s="386">
        <v>23899564.390000001</v>
      </c>
      <c r="AW12" s="418">
        <v>166053.70833333331</v>
      </c>
      <c r="AX12" s="19">
        <v>143.92671280802975</v>
      </c>
      <c r="AY12" s="386">
        <v>23828615.409999996</v>
      </c>
      <c r="AZ12" s="418">
        <v>186216.91666666666</v>
      </c>
      <c r="BA12" s="19">
        <v>127.96160432971762</v>
      </c>
      <c r="BB12" s="386">
        <v>23828615.409999996</v>
      </c>
      <c r="BC12" s="418">
        <v>186216.91666666666</v>
      </c>
      <c r="BD12" s="19">
        <v>127.96160432971762</v>
      </c>
      <c r="BE12" s="940">
        <f>'[1]BILLING RATE CALC'!C36</f>
        <v>27230886.369999997</v>
      </c>
      <c r="BF12" s="418">
        <f>'[1]BILLING RATE CALC'!D36</f>
        <v>144403.125</v>
      </c>
      <c r="BG12" s="19">
        <f>BE12/BF12</f>
        <v>188.57546448527341</v>
      </c>
      <c r="BH12" s="747">
        <f>'BILLING RATE CALC'!C36</f>
        <v>29204790.050000001</v>
      </c>
      <c r="BI12" s="745">
        <f>'BILLING RATE CALC'!D36</f>
        <v>143929.5</v>
      </c>
      <c r="BJ12" s="746">
        <f>BH12/BI12</f>
        <v>202.91038355583811</v>
      </c>
    </row>
    <row r="13" spans="1:62" x14ac:dyDescent="0.2">
      <c r="A13" s="1" t="s">
        <v>25</v>
      </c>
      <c r="B13" s="11">
        <v>8134816.5899999999</v>
      </c>
      <c r="C13" s="12">
        <v>130177.85833333335</v>
      </c>
      <c r="D13" s="13">
        <v>98.737480216869031</v>
      </c>
      <c r="E13" s="1"/>
      <c r="F13" s="11">
        <v>8641325.7200000007</v>
      </c>
      <c r="G13" s="12">
        <v>128241.29</v>
      </c>
      <c r="H13" s="13">
        <v>105.04069161625803</v>
      </c>
      <c r="I13" s="11">
        <v>8641325.7200000007</v>
      </c>
      <c r="J13" s="12">
        <v>128115</v>
      </c>
      <c r="K13" s="13">
        <v>104.11289387939597</v>
      </c>
      <c r="L13" s="11">
        <v>8271519.7600000007</v>
      </c>
      <c r="M13" s="12">
        <v>129930</v>
      </c>
      <c r="N13" s="13">
        <v>99.172782141644674</v>
      </c>
      <c r="O13" s="11">
        <v>8861688.3399999999</v>
      </c>
      <c r="P13" s="12">
        <v>129263.53333333334</v>
      </c>
      <c r="Q13" s="13">
        <v>98.841314525244101</v>
      </c>
      <c r="R13" s="11">
        <v>9695306.5999999996</v>
      </c>
      <c r="S13" s="12">
        <v>134469.34583333333</v>
      </c>
      <c r="T13" s="13">
        <v>113.39417989837223</v>
      </c>
      <c r="U13" s="11">
        <v>10448269.25</v>
      </c>
      <c r="V13" s="12">
        <v>133648</v>
      </c>
      <c r="W13" s="75">
        <v>119.22</v>
      </c>
      <c r="X13" s="82">
        <v>10982562.340000002</v>
      </c>
      <c r="Y13" s="12">
        <v>136916</v>
      </c>
      <c r="Z13" s="75">
        <v>120.56</v>
      </c>
      <c r="AA13" s="386">
        <v>12067388.890000001</v>
      </c>
      <c r="AB13" s="12">
        <v>132834</v>
      </c>
      <c r="AC13" s="19">
        <v>90.845633572729881</v>
      </c>
      <c r="AD13" s="1039">
        <v>12779068.41</v>
      </c>
      <c r="AE13" s="1038">
        <v>139381.94166666668</v>
      </c>
      <c r="AF13" s="1036">
        <v>91.683816835908843</v>
      </c>
      <c r="AG13" s="1045">
        <v>12467851.560000001</v>
      </c>
      <c r="AH13" s="1038">
        <v>146610</v>
      </c>
      <c r="AI13" s="1050">
        <v>85.04</v>
      </c>
      <c r="AJ13" s="91">
        <v>14244441.1</v>
      </c>
      <c r="AK13" s="12">
        <v>157539.82</v>
      </c>
      <c r="AL13" s="19">
        <v>90.418035897209975</v>
      </c>
      <c r="AM13" s="270">
        <v>15292805.16</v>
      </c>
      <c r="AN13" s="352">
        <v>158056.86249999999</v>
      </c>
      <c r="AO13" s="19">
        <f>AM13/AN13</f>
        <v>96.755084961907315</v>
      </c>
      <c r="AP13" s="604">
        <v>15004487</v>
      </c>
      <c r="AQ13" s="607">
        <v>146872.95833333334</v>
      </c>
      <c r="AR13" s="19">
        <f>AP13/AQ13</f>
        <v>102.15962945300515</v>
      </c>
      <c r="AS13" s="91">
        <v>15506331.210000001</v>
      </c>
      <c r="AT13" s="418">
        <v>148795</v>
      </c>
      <c r="AU13" s="19">
        <f>AS13/AT13</f>
        <v>104.2127168923687</v>
      </c>
      <c r="AV13" s="386">
        <v>16092746.300000001</v>
      </c>
      <c r="AW13" s="418">
        <v>153655.87499999997</v>
      </c>
      <c r="AX13" s="19">
        <v>104.7323852732608</v>
      </c>
      <c r="AY13" s="386">
        <v>16939058.02</v>
      </c>
      <c r="AZ13" s="418">
        <v>157287.625</v>
      </c>
      <c r="BA13" s="19">
        <v>107.69479175491396</v>
      </c>
      <c r="BB13" s="386">
        <v>16939058.02</v>
      </c>
      <c r="BC13" s="418">
        <v>157287.625</v>
      </c>
      <c r="BD13" s="19">
        <v>107.69479175491396</v>
      </c>
      <c r="BE13" s="940">
        <f>'[1]BILLING RATE CALC'!C37</f>
        <v>18702357.32</v>
      </c>
      <c r="BF13" s="418">
        <f>'[1]BILLING RATE CALC'!D37</f>
        <v>153108.375</v>
      </c>
      <c r="BG13" s="19">
        <f>BE13/BF13</f>
        <v>122.15110584251188</v>
      </c>
      <c r="BH13" s="747">
        <f>'BILLING RATE CALC'!C37</f>
        <v>20195090.690000001</v>
      </c>
      <c r="BI13" s="745">
        <f>'BILLING RATE CALC'!D37</f>
        <v>157776.5</v>
      </c>
      <c r="BJ13" s="746">
        <f>BH13/BI13</f>
        <v>127.9980902732663</v>
      </c>
    </row>
    <row r="14" spans="1:62" ht="13.5" thickBot="1" x14ac:dyDescent="0.25">
      <c r="A14" s="492" t="s">
        <v>72</v>
      </c>
      <c r="B14" s="11">
        <v>3868924.76</v>
      </c>
      <c r="C14" s="12">
        <v>35373.062499999993</v>
      </c>
      <c r="D14" s="13">
        <v>145.62235144875612</v>
      </c>
      <c r="E14" s="1"/>
      <c r="F14" s="11">
        <v>4147309.37</v>
      </c>
      <c r="G14" s="12">
        <v>39512.345000000001</v>
      </c>
      <c r="H14" s="13">
        <v>142.61972714018285</v>
      </c>
      <c r="I14" s="11">
        <v>4147309.37</v>
      </c>
      <c r="J14" s="12">
        <v>39420</v>
      </c>
      <c r="K14" s="13">
        <v>141.87139001567976</v>
      </c>
      <c r="L14" s="11">
        <v>4309167.79</v>
      </c>
      <c r="M14" s="12">
        <v>43920</v>
      </c>
      <c r="N14" s="13">
        <v>133.62544859345206</v>
      </c>
      <c r="O14" s="11">
        <v>4247216.13</v>
      </c>
      <c r="P14" s="12">
        <v>41160.776250000003</v>
      </c>
      <c r="Q14" s="13">
        <v>133.47211370645763</v>
      </c>
      <c r="R14" s="11">
        <v>4428785.87</v>
      </c>
      <c r="S14" s="12">
        <v>42733.59166666666</v>
      </c>
      <c r="T14" s="13">
        <v>144.93079174407586</v>
      </c>
      <c r="U14" s="11">
        <v>4844664.5</v>
      </c>
      <c r="V14" s="12">
        <v>40962</v>
      </c>
      <c r="W14" s="75">
        <v>159.31</v>
      </c>
      <c r="X14" s="82">
        <v>5212389.76</v>
      </c>
      <c r="Y14" s="12">
        <v>39962</v>
      </c>
      <c r="Z14" s="75">
        <v>170.78</v>
      </c>
      <c r="AA14" s="386">
        <v>5636452.7800000003</v>
      </c>
      <c r="AB14" s="12">
        <v>43264</v>
      </c>
      <c r="AC14" s="19">
        <v>130.28043592825443</v>
      </c>
      <c r="AD14" s="1039">
        <v>5676041.6699999999</v>
      </c>
      <c r="AE14" s="1038">
        <v>46919.837499999994</v>
      </c>
      <c r="AF14" s="1036">
        <v>120.97317408654709</v>
      </c>
      <c r="AG14" s="1045">
        <v>5845331.9500000002</v>
      </c>
      <c r="AH14" s="1038">
        <v>57401</v>
      </c>
      <c r="AI14" s="1050">
        <v>101.83</v>
      </c>
      <c r="AJ14" s="91">
        <v>7724430.5899999999</v>
      </c>
      <c r="AK14" s="12">
        <v>56705.904999999999</v>
      </c>
      <c r="AL14" s="19">
        <v>136.21915724649841</v>
      </c>
      <c r="AM14" s="270">
        <v>8442685.8599999994</v>
      </c>
      <c r="AN14" s="354">
        <v>71491.029166666674</v>
      </c>
      <c r="AO14" s="19">
        <f>AM14/AN14</f>
        <v>118.09433936553926</v>
      </c>
      <c r="AP14" s="604">
        <v>8415108.7100000009</v>
      </c>
      <c r="AQ14" s="607">
        <v>67050.5</v>
      </c>
      <c r="AR14" s="19">
        <f>AP14/AQ14</f>
        <v>125.50404113317576</v>
      </c>
      <c r="AS14" s="91">
        <v>9406646.4100000001</v>
      </c>
      <c r="AT14" s="418">
        <v>60523</v>
      </c>
      <c r="AU14" s="19">
        <f>AS14/AT14</f>
        <v>155.42267253771294</v>
      </c>
      <c r="AV14" s="386">
        <v>9772602.3900000006</v>
      </c>
      <c r="AW14" s="418">
        <v>69207.041666666672</v>
      </c>
      <c r="AX14" s="19">
        <v>141.20820879859889</v>
      </c>
      <c r="AY14" s="386">
        <v>9888647.2100000009</v>
      </c>
      <c r="AZ14" s="418">
        <v>75901.75</v>
      </c>
      <c r="BA14" s="19">
        <v>130.28220311125898</v>
      </c>
      <c r="BB14" s="386">
        <v>9888647.2100000009</v>
      </c>
      <c r="BC14" s="418">
        <v>75901.75</v>
      </c>
      <c r="BD14" s="19">
        <v>130.28220311125898</v>
      </c>
      <c r="BE14" s="940">
        <f>'[1]BILLING RATE CALC'!C38</f>
        <v>11478694.629999999</v>
      </c>
      <c r="BF14" s="418">
        <f>'[1]BILLING RATE CALC'!D38</f>
        <v>60526.124999999993</v>
      </c>
      <c r="BG14" s="19">
        <f>BE14/BF14</f>
        <v>189.64859604013969</v>
      </c>
      <c r="BH14" s="747">
        <f>'BILLING RATE CALC'!C38</f>
        <v>11909250.91</v>
      </c>
      <c r="BI14" s="745">
        <f>'BILLING RATE CALC'!D38</f>
        <v>49379.5</v>
      </c>
      <c r="BJ14" s="746">
        <f>BH14/BI14</f>
        <v>241.17803764720179</v>
      </c>
    </row>
    <row r="15" spans="1:62" ht="14.25" thickTop="1" thickBot="1" x14ac:dyDescent="0.25">
      <c r="A15" s="9" t="s">
        <v>60</v>
      </c>
      <c r="B15" s="15">
        <v>80209969.890000015</v>
      </c>
      <c r="C15" s="16">
        <v>1040830.7454166668</v>
      </c>
      <c r="D15" s="85">
        <v>113.31</v>
      </c>
      <c r="E15" s="9"/>
      <c r="F15" s="15">
        <v>84520064.450000018</v>
      </c>
      <c r="G15" s="16">
        <v>1096697.1891666665</v>
      </c>
      <c r="H15" s="85">
        <v>114.96</v>
      </c>
      <c r="I15" s="15">
        <v>87100985.303000003</v>
      </c>
      <c r="J15" s="16">
        <v>1130770</v>
      </c>
      <c r="K15" s="85">
        <v>113.69</v>
      </c>
      <c r="L15" s="15">
        <v>86838486.000000015</v>
      </c>
      <c r="M15" s="16">
        <v>1164612</v>
      </c>
      <c r="N15" s="85">
        <v>110.08</v>
      </c>
      <c r="O15" s="15">
        <v>92104111.75999999</v>
      </c>
      <c r="P15" s="16">
        <v>1187552.5025000002</v>
      </c>
      <c r="Q15" s="85">
        <v>107.42</v>
      </c>
      <c r="R15" s="15">
        <v>101019978.05</v>
      </c>
      <c r="S15" s="16">
        <v>1257892.5649999997</v>
      </c>
      <c r="T15" s="85">
        <v>121.6</v>
      </c>
      <c r="U15" s="15">
        <v>112247971.41999999</v>
      </c>
      <c r="V15" s="16">
        <v>1274555</v>
      </c>
      <c r="W15" s="85">
        <v>129.11000000000001</v>
      </c>
      <c r="X15" s="83">
        <v>116257567.66000003</v>
      </c>
      <c r="Y15" s="84">
        <v>1356782</v>
      </c>
      <c r="Z15" s="385">
        <v>126.04</v>
      </c>
      <c r="AA15" s="15">
        <v>117625765.84999999</v>
      </c>
      <c r="AB15" s="16">
        <v>1290018</v>
      </c>
      <c r="AC15" s="85">
        <v>134.21</v>
      </c>
      <c r="AD15" s="1040">
        <f>SUM(AD2:AD14)</f>
        <v>124375600.87999998</v>
      </c>
      <c r="AE15" s="1041">
        <f>SUM(AE2:AE14)</f>
        <v>1369943.2458333331</v>
      </c>
      <c r="AF15" s="85">
        <v>136.44</v>
      </c>
      <c r="AG15" s="92">
        <f>SUM(AG2:AG14)</f>
        <v>123770220.69000001</v>
      </c>
      <c r="AH15" s="16">
        <f>SUM(AH2:AH14)</f>
        <v>1399615.2916666665</v>
      </c>
      <c r="AI15" s="85">
        <v>134.9</v>
      </c>
      <c r="AJ15" s="92">
        <f>SUM(AJ2:AJ14)</f>
        <v>137949523.11999997</v>
      </c>
      <c r="AK15" s="16">
        <f>SUM(AK2:AK14)</f>
        <v>1410128.1550000003</v>
      </c>
      <c r="AL15" s="85">
        <v>147.21</v>
      </c>
      <c r="AM15" s="92">
        <f>SUM(AM2:AM14)</f>
        <v>190608052.26999998</v>
      </c>
      <c r="AN15" s="16">
        <f>SUM(AN2:AN14)</f>
        <v>1838805.5166666661</v>
      </c>
      <c r="AO15" s="85">
        <v>142.66</v>
      </c>
      <c r="AP15" s="605">
        <v>184917172.89000002</v>
      </c>
      <c r="AQ15" s="606">
        <v>1757109.9999999998</v>
      </c>
      <c r="AR15" s="1047">
        <v>149.62</v>
      </c>
      <c r="AS15" s="92">
        <f>SUM(AS2:AS14)</f>
        <v>180290674.90000001</v>
      </c>
      <c r="AT15" s="16">
        <f>SUM(AT2:AT14)+1</f>
        <v>1565372</v>
      </c>
      <c r="AU15" s="1047">
        <v>168.74</v>
      </c>
      <c r="AV15" s="15">
        <v>185812882.35000002</v>
      </c>
      <c r="AW15" s="16">
        <v>1606319.6791666667</v>
      </c>
      <c r="AX15" s="1047">
        <v>176.23696019555885</v>
      </c>
      <c r="AY15" s="15">
        <v>195606371.19</v>
      </c>
      <c r="AZ15" s="16">
        <v>1640112.291666667</v>
      </c>
      <c r="BA15" s="1047">
        <v>175.9990519526315</v>
      </c>
      <c r="BB15" s="15">
        <v>195606371.19</v>
      </c>
      <c r="BC15" s="16">
        <v>1640112.291666667</v>
      </c>
      <c r="BD15" s="663">
        <v>175.9990519526315</v>
      </c>
      <c r="BE15" s="15">
        <f>SUM(BE2:BE14)</f>
        <v>241901059.74000004</v>
      </c>
      <c r="BF15" s="16">
        <f>SUM(BF2:BF14)</f>
        <v>1661537.791666667</v>
      </c>
      <c r="BG15" s="663">
        <f>'[1]BILLING RATE CALC'!J39</f>
        <v>202.21196672775406</v>
      </c>
      <c r="BH15" s="15">
        <f>SUM(BH2:BH14)</f>
        <v>255220770.46000004</v>
      </c>
      <c r="BI15" s="16">
        <f>SUM(BI2:BI14)</f>
        <v>1627449.5</v>
      </c>
      <c r="BJ15" s="942">
        <f>'BILLING RATE CALC'!J39</f>
        <v>223.69615047662623</v>
      </c>
    </row>
    <row r="16" spans="1:62" ht="13.5" thickTop="1" x14ac:dyDescent="0.2">
      <c r="AE16" s="93">
        <v>1369943</v>
      </c>
      <c r="AH16" s="369">
        <v>1399616</v>
      </c>
      <c r="AJ16" s="388">
        <v>137949523.12</v>
      </c>
      <c r="AK16" s="93">
        <v>1410128</v>
      </c>
      <c r="AM16" s="388">
        <v>190608052.27000001</v>
      </c>
      <c r="AN16" s="93">
        <v>1838806</v>
      </c>
      <c r="AP16" s="388">
        <v>184917172.88999999</v>
      </c>
      <c r="AQ16" s="93">
        <v>1757110</v>
      </c>
      <c r="AS16" s="388">
        <v>180290674.90000001</v>
      </c>
      <c r="AT16" s="369">
        <v>1565372</v>
      </c>
      <c r="AV16" s="388">
        <v>185812882.35000002</v>
      </c>
      <c r="AW16" s="93">
        <v>1606319.6791666667</v>
      </c>
      <c r="AY16" s="388">
        <v>195606371.19</v>
      </c>
      <c r="AZ16" s="93">
        <v>1640112.291666667</v>
      </c>
      <c r="BB16" s="388">
        <v>195606371.19</v>
      </c>
      <c r="BC16" s="93">
        <v>1640112.291666667</v>
      </c>
      <c r="BE16" s="388">
        <f>'[1]BILLING RATE CALC'!C39</f>
        <v>241901059.74000004</v>
      </c>
      <c r="BF16" s="93">
        <f>'[1]BILLING RATE CALC'!D39</f>
        <v>1661537.791666667</v>
      </c>
      <c r="BH16" s="388">
        <f>'BILLING RATE CALC'!C39</f>
        <v>255220770.46000004</v>
      </c>
      <c r="BI16" s="93">
        <f>'BILLING RATE CALC'!D39</f>
        <v>1627449.5</v>
      </c>
    </row>
    <row r="17" spans="1:60" x14ac:dyDescent="0.2">
      <c r="X17" s="77"/>
      <c r="Z17" s="78"/>
      <c r="AJ17" s="388"/>
      <c r="AK17" s="67"/>
      <c r="AM17" s="388"/>
      <c r="AP17" s="388"/>
      <c r="AS17" s="388"/>
      <c r="AV17" s="388"/>
      <c r="AY17" s="388"/>
      <c r="BB17" s="388"/>
      <c r="BE17" s="388"/>
      <c r="BH17" s="388"/>
    </row>
    <row r="18" spans="1:60" x14ac:dyDescent="0.2">
      <c r="A18" t="s">
        <v>276</v>
      </c>
      <c r="AJ18" s="388"/>
    </row>
    <row r="22" spans="1:60" x14ac:dyDescent="0.2">
      <c r="A22" s="94" t="s">
        <v>972</v>
      </c>
    </row>
    <row r="39" spans="29:32" x14ac:dyDescent="0.2">
      <c r="AC39" t="s">
        <v>273</v>
      </c>
      <c r="AF39" t="s">
        <v>273</v>
      </c>
    </row>
  </sheetData>
  <phoneticPr fontId="22" type="noConversion"/>
  <pageMargins left="0" right="0" top="1.5" bottom="1" header="0.33" footer="0.5"/>
  <pageSetup scale="79" fitToHeight="0" orientation="landscape" r:id="rId1"/>
  <headerFooter alignWithMargins="0">
    <oddHeader>&amp;C&amp;"Arial,Bold"&amp;12DEPARTMENT OF CORRECTIONS
 2025 COST OF CARE 
(Based on FY2024 Actuals)</oddHeader>
    <oddFooter>&amp;L&amp;8&amp;F &amp;A&amp;R&amp;8&amp;D &amp;T</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4:A11"/>
  <sheetViews>
    <sheetView workbookViewId="0">
      <selection activeCell="F13" sqref="F13"/>
    </sheetView>
  </sheetViews>
  <sheetFormatPr defaultRowHeight="12.75" x14ac:dyDescent="0.2"/>
  <cols>
    <col min="1" max="1" width="14.42578125" customWidth="1"/>
  </cols>
  <sheetData>
    <row r="4" spans="1:1" x14ac:dyDescent="0.2">
      <c r="A4" s="599"/>
    </row>
    <row r="5" spans="1:1" x14ac:dyDescent="0.2">
      <c r="A5" s="599"/>
    </row>
    <row r="6" spans="1:1" x14ac:dyDescent="0.2">
      <c r="A6" s="599"/>
    </row>
    <row r="7" spans="1:1" x14ac:dyDescent="0.2">
      <c r="A7" s="599"/>
    </row>
    <row r="8" spans="1:1" x14ac:dyDescent="0.2">
      <c r="A8" s="599"/>
    </row>
    <row r="9" spans="1:1" x14ac:dyDescent="0.2">
      <c r="A9" s="599"/>
    </row>
    <row r="10" spans="1:1" x14ac:dyDescent="0.2">
      <c r="A10" s="599"/>
    </row>
    <row r="11" spans="1:1" x14ac:dyDescent="0.2">
      <c r="A11" s="599"/>
    </row>
  </sheetData>
  <phoneticPr fontId="0"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27</vt:i4>
      </vt:variant>
    </vt:vector>
  </HeadingPairs>
  <TitlesOfParts>
    <vt:vector size="49" baseType="lpstr">
      <vt:lpstr>Daily Cost Calc</vt:lpstr>
      <vt:lpstr>Sched-A</vt:lpstr>
      <vt:lpstr>Sched-B1</vt:lpstr>
      <vt:lpstr>Sched-B2</vt:lpstr>
      <vt:lpstr>Sched-C</vt:lpstr>
      <vt:lpstr>Sched-D1</vt:lpstr>
      <vt:lpstr>Sched-D2</vt:lpstr>
      <vt:lpstr>Summary-Sched-E</vt:lpstr>
      <vt:lpstr>Sched-E</vt:lpstr>
      <vt:lpstr>Property Inventory</vt:lpstr>
      <vt:lpstr>Sched-F-G</vt:lpstr>
      <vt:lpstr>CostReim</vt:lpstr>
      <vt:lpstr>COST ALLOCATION</vt:lpstr>
      <vt:lpstr>BILLING RATE CALC</vt:lpstr>
      <vt:lpstr>Inmate Avg Daily Population</vt:lpstr>
      <vt:lpstr>Avg Daily Community Jails</vt:lpstr>
      <vt:lpstr>IADP-By Gender</vt:lpstr>
      <vt:lpstr>Monthly PO Workload Stats</vt:lpstr>
      <vt:lpstr>Qtrly's-Cntsht Book</vt:lpstr>
      <vt:lpstr>CRC Avg Info by FY</vt:lpstr>
      <vt:lpstr>COC 2022-2025 COMPARISON</vt:lpstr>
      <vt:lpstr>Sheet1</vt:lpstr>
      <vt:lpstr>'Avg Daily Community Jails'!Print_Area</vt:lpstr>
      <vt:lpstr>'BILLING RATE CALC'!Print_Area</vt:lpstr>
      <vt:lpstr>'COC 2022-2025 COMPARISON'!Print_Area</vt:lpstr>
      <vt:lpstr>'COST ALLOCATION'!Print_Area</vt:lpstr>
      <vt:lpstr>CostReim!Print_Area</vt:lpstr>
      <vt:lpstr>'CRC Avg Info by FY'!Print_Area</vt:lpstr>
      <vt:lpstr>'Daily Cost Calc'!Print_Area</vt:lpstr>
      <vt:lpstr>'IADP-By Gender'!Print_Area</vt:lpstr>
      <vt:lpstr>'Inmate Avg Daily Population'!Print_Area</vt:lpstr>
      <vt:lpstr>'Monthly PO Workload Stats'!Print_Area</vt:lpstr>
      <vt:lpstr>'Property Inventory'!Print_Area</vt:lpstr>
      <vt:lpstr>'Qtrly''s-Cntsht Book'!Print_Area</vt:lpstr>
      <vt:lpstr>'Sched-A'!Print_Area</vt:lpstr>
      <vt:lpstr>'Sched-B1'!Print_Area</vt:lpstr>
      <vt:lpstr>'Sched-B2'!Print_Area</vt:lpstr>
      <vt:lpstr>'Sched-C'!Print_Area</vt:lpstr>
      <vt:lpstr>'Sched-D1'!Print_Area</vt:lpstr>
      <vt:lpstr>'Sched-D2'!Print_Area</vt:lpstr>
      <vt:lpstr>'Sched-E'!Print_Area</vt:lpstr>
      <vt:lpstr>'Sched-F-G'!Print_Area</vt:lpstr>
      <vt:lpstr>'Summary-Sched-E'!Print_Area</vt:lpstr>
      <vt:lpstr>'COST ALLOCATION'!Print_Titles</vt:lpstr>
      <vt:lpstr>'Property Inventory'!Print_Titles</vt:lpstr>
      <vt:lpstr>'Sched-B2'!Print_Titles</vt:lpstr>
      <vt:lpstr>'Sched-D1'!Print_Titles</vt:lpstr>
      <vt:lpstr>'Sched-D2'!Print_Titles</vt:lpstr>
      <vt:lpstr>'Sched-E'!Print_Titles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DOC Cost of Care</dc:title>
  <dc:subject>DOC Cost of Care</dc:subject>
  <cp:lastPrinted>2025-12-31T22:43:58Z</cp:lastPrinted>
  <dcterms:created xsi:type="dcterms:W3CDTF">1998-10-01T18:59:57Z</dcterms:created>
  <dcterms:modified xsi:type="dcterms:W3CDTF">2026-04-20T22:26:01Z</dcterms:modified>
</cp:coreProperties>
</file>