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xr:revisionPtr revIDLastSave="0" documentId="13_ncr:1_{9039C337-448B-41C7-A1CF-A56ACF01252E}" xr6:coauthVersionLast="47" xr6:coauthVersionMax="47" xr10:uidLastSave="{00000000-0000-0000-0000-000000000000}"/>
  <bookViews>
    <workbookView xWindow="-120" yWindow="-120" windowWidth="29040" windowHeight="15720"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ched-E" sheetId="5" r:id="rId8"/>
    <sheet name="Summary-Sched-E" sheetId="27" r:id="rId9"/>
    <sheet name="Sched-F-G" sheetId="6" r:id="rId10"/>
    <sheet name="Property Inventory" sheetId="10"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18-2021 COMPARISON" sheetId="23" r:id="rId21"/>
    <sheet name="Sheet1" sheetId="31" r:id="rId22"/>
  </sheets>
  <definedNames>
    <definedName name="_xlnm._FilterDatabase" localSheetId="10" hidden="1">'Property Inventory'!$A$2:$G$68</definedName>
    <definedName name="_xlnm.Print_Area" localSheetId="13">'BILLING RATE CALC'!$A$1:$K$40</definedName>
    <definedName name="_xlnm.Print_Area" localSheetId="20">'COC 2018-2021 COMPARISON'!$A$1:$BD$20</definedName>
    <definedName name="_xlnm.Print_Area" localSheetId="12">'COST ALLOCATION'!$A$1:$J$65</definedName>
    <definedName name="_xlnm.Print_Area" localSheetId="11">CostReim!$A$1:$F$33</definedName>
    <definedName name="_xlnm.Print_Area" localSheetId="19">'CRC Avg Info by FY'!$A$1:$O$15</definedName>
    <definedName name="_xlnm.Print_Area" localSheetId="0">'Daily Cost Calc'!$A$1:$B$49</definedName>
    <definedName name="_xlnm.Print_Area" localSheetId="16">'IADP-By Gender'!#REF!</definedName>
    <definedName name="_xlnm.Print_Area" localSheetId="14">'Inmate Avg Daily Population'!$A$1:$O$30</definedName>
    <definedName name="_xlnm.Print_Area" localSheetId="17">'Monthly PO Workload Stats'!$A$321:$R$346</definedName>
    <definedName name="_xlnm.Print_Area" localSheetId="10">'Property Inventory'!$A$1:$G$66</definedName>
    <definedName name="_xlnm.Print_Area" localSheetId="18">'Qtrly''s-Cntsht Book'!$A$1:$Y$30</definedName>
    <definedName name="_xlnm.Print_Area" localSheetId="3">'Sched-B2'!$A$1:$E$225</definedName>
    <definedName name="_xlnm.Print_Area" localSheetId="4">'Sched-C'!$A$1:$D$25</definedName>
    <definedName name="_xlnm.Print_Area" localSheetId="5">'Sched-D1'!$A$1:$F$662</definedName>
    <definedName name="_xlnm.Print_Area" localSheetId="6">'Sched-D2'!$A$1:$F$143</definedName>
    <definedName name="_xlnm.Print_Area" localSheetId="7">'Sched-E'!$A$1:$E$4</definedName>
    <definedName name="_xlnm.Print_Area" localSheetId="9">'Sched-F-G'!$A$1:$E$42</definedName>
    <definedName name="_xlnm.Print_Area" localSheetId="8">'Summary-Sched-E'!$A$1:$F$13</definedName>
    <definedName name="_xlnm.Print_Titles" localSheetId="12">'COST ALLOCATION'!$2:$2</definedName>
    <definedName name="_xlnm.Print_Titles" localSheetId="10">'Property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7">'Sched-E'!$1:$2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8" i="18" l="1"/>
  <c r="H133" i="21" l="1"/>
  <c r="H144" i="21"/>
  <c r="F121" i="21"/>
  <c r="E14" i="16"/>
  <c r="F102" i="21"/>
  <c r="F64" i="11"/>
  <c r="H141" i="21"/>
  <c r="F43" i="11" l="1"/>
  <c r="B16" i="6" l="1"/>
  <c r="B15" i="6"/>
  <c r="B14" i="6"/>
  <c r="B13" i="6"/>
  <c r="B12" i="6"/>
  <c r="B11" i="6"/>
  <c r="B10" i="6"/>
  <c r="B9" i="6"/>
  <c r="B8" i="6"/>
  <c r="B7" i="6"/>
  <c r="B6" i="6"/>
  <c r="B5" i="6"/>
  <c r="B4" i="6"/>
  <c r="E2" i="16" l="1"/>
  <c r="B47" i="18"/>
  <c r="B40" i="18"/>
  <c r="B46" i="18"/>
  <c r="F29" i="19" l="1"/>
  <c r="G47" i="28"/>
  <c r="F47" i="28"/>
  <c r="E47" i="28"/>
  <c r="D47" i="28"/>
  <c r="C47" i="28"/>
  <c r="B47" i="28"/>
  <c r="H46" i="28"/>
  <c r="H45" i="28"/>
  <c r="H44" i="28"/>
  <c r="H43" i="28"/>
  <c r="H42" i="28"/>
  <c r="G41" i="28"/>
  <c r="F41" i="28"/>
  <c r="E41" i="28"/>
  <c r="D41" i="28"/>
  <c r="C41" i="28"/>
  <c r="B41" i="28"/>
  <c r="H41" i="28" s="1"/>
  <c r="H40" i="28"/>
  <c r="H39" i="28"/>
  <c r="H38" i="28"/>
  <c r="H37" i="28"/>
  <c r="H36" i="28"/>
  <c r="H35" i="28"/>
  <c r="H34" i="28"/>
  <c r="H33" i="28"/>
  <c r="H32" i="28"/>
  <c r="H31" i="28"/>
  <c r="H30" i="28"/>
  <c r="H29" i="28"/>
  <c r="G28" i="28"/>
  <c r="F28" i="28"/>
  <c r="E28" i="28"/>
  <c r="D28" i="28"/>
  <c r="C28" i="28"/>
  <c r="B28" i="28"/>
  <c r="H28" i="28" s="1"/>
  <c r="H27" i="28"/>
  <c r="H26" i="28"/>
  <c r="H25" i="28"/>
  <c r="H24" i="28"/>
  <c r="H23" i="28"/>
  <c r="H22" i="28"/>
  <c r="H21" i="28"/>
  <c r="H20" i="28"/>
  <c r="G19" i="28"/>
  <c r="F19" i="28"/>
  <c r="E19" i="28"/>
  <c r="D19" i="28"/>
  <c r="J19" i="28" s="1"/>
  <c r="C19" i="28"/>
  <c r="B19" i="28"/>
  <c r="H19" i="28" s="1"/>
  <c r="H18" i="28"/>
  <c r="H17" i="28"/>
  <c r="H16" i="28"/>
  <c r="H15" i="28"/>
  <c r="H14" i="28"/>
  <c r="H13" i="28"/>
  <c r="H12" i="28"/>
  <c r="H11" i="28"/>
  <c r="H10" i="28"/>
  <c r="H9" i="28"/>
  <c r="H8" i="28"/>
  <c r="H7" i="28"/>
  <c r="H6" i="28"/>
  <c r="H5" i="28"/>
  <c r="H4" i="28"/>
  <c r="F17" i="11" l="1"/>
  <c r="F55" i="11" s="1"/>
  <c r="F63" i="11"/>
  <c r="F18" i="11"/>
  <c r="F58" i="11" s="1"/>
  <c r="F19" i="11"/>
  <c r="F59" i="11" s="1"/>
  <c r="F20" i="11"/>
  <c r="F60" i="11" s="1"/>
  <c r="F56" i="11"/>
  <c r="E16" i="16" s="1"/>
  <c r="F22" i="11"/>
  <c r="F61" i="11" s="1"/>
  <c r="F4" i="11"/>
  <c r="I4" i="11"/>
  <c r="C10" i="27"/>
  <c r="G36" i="11"/>
  <c r="F28" i="11"/>
  <c r="F29" i="11"/>
  <c r="F49" i="11" s="1"/>
  <c r="F15" i="11"/>
  <c r="F48" i="11" s="1"/>
  <c r="F13" i="11"/>
  <c r="F50" i="11" s="1"/>
  <c r="F9" i="11"/>
  <c r="F51" i="11" s="1"/>
  <c r="F8" i="11"/>
  <c r="F11" i="11"/>
  <c r="F52" i="11" s="1"/>
  <c r="I33" i="8"/>
  <c r="F14" i="11"/>
  <c r="F669" i="4"/>
  <c r="F665" i="4"/>
  <c r="E11" i="16" l="1"/>
  <c r="E18" i="16"/>
  <c r="E6" i="16"/>
  <c r="E7" i="16"/>
  <c r="E10" i="16"/>
  <c r="E20" i="16"/>
  <c r="D29" i="8" l="1"/>
  <c r="F668" i="4"/>
  <c r="H556" i="4"/>
  <c r="D10" i="8" l="1"/>
  <c r="F10" i="8"/>
  <c r="H49" i="21"/>
  <c r="F49" i="21"/>
  <c r="H48" i="21"/>
  <c r="D9" i="8"/>
  <c r="D33" i="8"/>
  <c r="F6" i="8"/>
  <c r="B33" i="6"/>
  <c r="G34" i="10"/>
  <c r="G10" i="10"/>
  <c r="D66" i="10"/>
  <c r="G58" i="10"/>
  <c r="G59" i="10"/>
  <c r="D36" i="10"/>
  <c r="E122" i="21" l="1"/>
  <c r="E113" i="21"/>
  <c r="E119" i="21"/>
  <c r="D110" i="21"/>
  <c r="E109" i="21"/>
  <c r="H108" i="21"/>
  <c r="H102" i="21"/>
  <c r="E94" i="21"/>
  <c r="E100" i="21"/>
  <c r="E91" i="21"/>
  <c r="E90" i="21"/>
  <c r="E82" i="21"/>
  <c r="E87" i="21"/>
  <c r="E78" i="21"/>
  <c r="E75" i="21"/>
  <c r="E72" i="21"/>
  <c r="F77" i="21" s="1"/>
  <c r="E54" i="21"/>
  <c r="F67" i="21" s="1"/>
  <c r="H67" i="21" s="1"/>
  <c r="E69" i="21"/>
  <c r="E68" i="21"/>
  <c r="H31" i="21"/>
  <c r="F31" i="21"/>
  <c r="H30" i="21"/>
  <c r="H66" i="21"/>
  <c r="E61" i="21"/>
  <c r="E51" i="21"/>
  <c r="E50" i="21"/>
  <c r="E33" i="21"/>
  <c r="F89" i="21" l="1"/>
  <c r="H89" i="21" s="1"/>
  <c r="E47" i="21" l="1"/>
  <c r="E42" i="21" l="1"/>
  <c r="E32" i="21"/>
  <c r="H47" i="21" l="1"/>
  <c r="E18" i="21"/>
  <c r="D29" i="21"/>
  <c r="E29" i="21" s="1"/>
  <c r="E25" i="21"/>
  <c r="E28" i="21"/>
  <c r="E389" i="4"/>
  <c r="E43" i="21"/>
  <c r="E20" i="21"/>
  <c r="H447" i="4" l="1"/>
  <c r="E46" i="4" l="1"/>
  <c r="F89" i="4" s="1"/>
  <c r="E80" i="4"/>
  <c r="E448" i="4"/>
  <c r="F447" i="4"/>
  <c r="E438" i="4"/>
  <c r="H345" i="4"/>
  <c r="E297" i="4"/>
  <c r="E658" i="4"/>
  <c r="E604" i="4"/>
  <c r="E554" i="4"/>
  <c r="E499" i="4"/>
  <c r="E445" i="4"/>
  <c r="E396" i="4"/>
  <c r="E343" i="4"/>
  <c r="E294" i="4"/>
  <c r="H242" i="4"/>
  <c r="E240" i="4"/>
  <c r="E191" i="4"/>
  <c r="E181" i="4"/>
  <c r="E188" i="4"/>
  <c r="F138" i="4"/>
  <c r="E129" i="4"/>
  <c r="E136" i="4"/>
  <c r="E87" i="4"/>
  <c r="D47" i="4"/>
  <c r="E4" i="4" l="1"/>
  <c r="D13" i="3" l="1"/>
  <c r="D17" i="3"/>
  <c r="G225" i="1" l="1"/>
  <c r="E224" i="1"/>
  <c r="E207" i="1"/>
  <c r="E190" i="1"/>
  <c r="E173" i="1"/>
  <c r="E156" i="1"/>
  <c r="E139" i="1"/>
  <c r="E122" i="1"/>
  <c r="E105" i="1"/>
  <c r="E88" i="1"/>
  <c r="E71" i="1"/>
  <c r="E54" i="1"/>
  <c r="E37" i="1"/>
  <c r="E20" i="1"/>
  <c r="F17" i="2"/>
  <c r="G17" i="2"/>
  <c r="B25" i="18" l="1"/>
  <c r="B21" i="12" l="1"/>
  <c r="C21" i="12"/>
  <c r="D21" i="12"/>
  <c r="E21" i="12"/>
  <c r="F21" i="12"/>
  <c r="G21" i="12"/>
  <c r="H21" i="12"/>
  <c r="I21" i="12"/>
  <c r="J21" i="12"/>
  <c r="K21" i="12"/>
  <c r="L21" i="12"/>
  <c r="M21" i="12"/>
  <c r="B22" i="12"/>
  <c r="C22" i="12"/>
  <c r="D22" i="12"/>
  <c r="E22" i="12"/>
  <c r="F22" i="12"/>
  <c r="G22" i="12"/>
  <c r="H22" i="12"/>
  <c r="I22" i="12"/>
  <c r="J22" i="12"/>
  <c r="K22" i="12"/>
  <c r="L22" i="12"/>
  <c r="M22" i="12"/>
  <c r="B23" i="12"/>
  <c r="C23" i="12"/>
  <c r="D23" i="12"/>
  <c r="E23" i="12"/>
  <c r="F23" i="12"/>
  <c r="G23" i="12"/>
  <c r="H23" i="12"/>
  <c r="I23" i="12"/>
  <c r="J23" i="12"/>
  <c r="K23" i="12"/>
  <c r="L23" i="12"/>
  <c r="M23" i="12"/>
  <c r="B24" i="12"/>
  <c r="C24" i="12"/>
  <c r="D24" i="12"/>
  <c r="E24" i="12"/>
  <c r="F24" i="12"/>
  <c r="G24" i="12"/>
  <c r="H24" i="12"/>
  <c r="I24" i="12"/>
  <c r="J24" i="12"/>
  <c r="K24" i="12"/>
  <c r="L24" i="12"/>
  <c r="M24" i="12"/>
  <c r="B25" i="12"/>
  <c r="C25" i="12"/>
  <c r="D25" i="12"/>
  <c r="E25" i="12"/>
  <c r="F25" i="12"/>
  <c r="G25" i="12"/>
  <c r="H25" i="12"/>
  <c r="I25" i="12"/>
  <c r="J25" i="12"/>
  <c r="K25" i="12"/>
  <c r="L25" i="12"/>
  <c r="M25" i="12"/>
  <c r="B26" i="12"/>
  <c r="C26" i="12"/>
  <c r="D26" i="12"/>
  <c r="E26" i="12"/>
  <c r="F26" i="12"/>
  <c r="G26" i="12"/>
  <c r="H26" i="12"/>
  <c r="I26" i="12"/>
  <c r="J26" i="12"/>
  <c r="K26" i="12"/>
  <c r="L26" i="12"/>
  <c r="M26" i="12"/>
  <c r="B27" i="12"/>
  <c r="C27" i="12"/>
  <c r="D27" i="12"/>
  <c r="E27" i="12"/>
  <c r="F27" i="12"/>
  <c r="G27" i="12"/>
  <c r="H27" i="12"/>
  <c r="I27" i="12"/>
  <c r="J27" i="12"/>
  <c r="K27" i="12"/>
  <c r="L27" i="12"/>
  <c r="M27" i="12"/>
  <c r="O18" i="12"/>
  <c r="O5" i="12"/>
  <c r="O6" i="12"/>
  <c r="O7" i="12"/>
  <c r="O8" i="12"/>
  <c r="O9" i="12"/>
  <c r="O10" i="12"/>
  <c r="O11" i="12"/>
  <c r="O12" i="12"/>
  <c r="O13" i="12"/>
  <c r="O14" i="12"/>
  <c r="O15" i="12"/>
  <c r="O16" i="12"/>
  <c r="O17" i="12"/>
  <c r="O20" i="12"/>
  <c r="L20" i="12"/>
  <c r="M20" i="12"/>
  <c r="K20" i="12"/>
  <c r="I20" i="12"/>
  <c r="J20" i="12"/>
  <c r="H20" i="12"/>
  <c r="F20" i="12"/>
  <c r="G20" i="12"/>
  <c r="E20" i="12"/>
  <c r="C20" i="12"/>
  <c r="D20" i="12"/>
  <c r="B20" i="12"/>
  <c r="B12" i="12"/>
  <c r="C12" i="12"/>
  <c r="D12" i="12"/>
  <c r="E12" i="12"/>
  <c r="F12" i="12"/>
  <c r="G12" i="12"/>
  <c r="H12" i="12"/>
  <c r="I12" i="12"/>
  <c r="J12" i="12"/>
  <c r="K12" i="12"/>
  <c r="L12" i="12"/>
  <c r="M12" i="12"/>
  <c r="B13" i="12"/>
  <c r="C13" i="12"/>
  <c r="D13" i="12"/>
  <c r="E13" i="12"/>
  <c r="F13" i="12"/>
  <c r="G13" i="12"/>
  <c r="H13" i="12"/>
  <c r="I13" i="12"/>
  <c r="J13" i="12"/>
  <c r="K13" i="12"/>
  <c r="L13" i="12"/>
  <c r="M13" i="12"/>
  <c r="B14" i="12"/>
  <c r="C14" i="12"/>
  <c r="D14" i="12"/>
  <c r="E14" i="12"/>
  <c r="F14" i="12"/>
  <c r="G14" i="12"/>
  <c r="H14" i="12"/>
  <c r="I14" i="12"/>
  <c r="J14" i="12"/>
  <c r="K14" i="12"/>
  <c r="L14" i="12"/>
  <c r="M14" i="12"/>
  <c r="B15" i="12"/>
  <c r="C15" i="12"/>
  <c r="D15" i="12"/>
  <c r="E15" i="12"/>
  <c r="F15" i="12"/>
  <c r="G15" i="12"/>
  <c r="H15" i="12"/>
  <c r="I15" i="12"/>
  <c r="J15" i="12"/>
  <c r="K15" i="12"/>
  <c r="L15" i="12"/>
  <c r="M15" i="12"/>
  <c r="B16" i="12"/>
  <c r="C16" i="12"/>
  <c r="D16" i="12"/>
  <c r="E16" i="12"/>
  <c r="F16" i="12"/>
  <c r="G16" i="12"/>
  <c r="H16" i="12"/>
  <c r="I16" i="12"/>
  <c r="J16" i="12"/>
  <c r="K16" i="12"/>
  <c r="L16" i="12"/>
  <c r="M16" i="12"/>
  <c r="B17" i="12"/>
  <c r="C17" i="12"/>
  <c r="D17" i="12"/>
  <c r="E17" i="12"/>
  <c r="F17" i="12"/>
  <c r="G17" i="12"/>
  <c r="H17" i="12"/>
  <c r="I17" i="12"/>
  <c r="J17" i="12"/>
  <c r="K17" i="12"/>
  <c r="L17" i="12"/>
  <c r="M17" i="12"/>
  <c r="B5" i="12"/>
  <c r="C5" i="12"/>
  <c r="D5" i="12"/>
  <c r="E5" i="12"/>
  <c r="F5" i="12"/>
  <c r="G5" i="12"/>
  <c r="H5" i="12"/>
  <c r="I5" i="12"/>
  <c r="J5" i="12"/>
  <c r="K5" i="12"/>
  <c r="L5" i="12"/>
  <c r="M5" i="12"/>
  <c r="B6" i="12"/>
  <c r="C6" i="12"/>
  <c r="D6" i="12"/>
  <c r="E6" i="12"/>
  <c r="F6" i="12"/>
  <c r="G6" i="12"/>
  <c r="H6" i="12"/>
  <c r="I6" i="12"/>
  <c r="J6" i="12"/>
  <c r="K6" i="12"/>
  <c r="L6" i="12"/>
  <c r="M6" i="12"/>
  <c r="B7" i="12"/>
  <c r="C7" i="12"/>
  <c r="D7" i="12"/>
  <c r="E7" i="12"/>
  <c r="F7" i="12"/>
  <c r="G7" i="12"/>
  <c r="H7" i="12"/>
  <c r="I7" i="12"/>
  <c r="J7" i="12"/>
  <c r="K7" i="12"/>
  <c r="L7" i="12"/>
  <c r="M7" i="12"/>
  <c r="B8" i="12"/>
  <c r="C8" i="12"/>
  <c r="D8" i="12"/>
  <c r="E8" i="12"/>
  <c r="F8" i="12"/>
  <c r="G8" i="12"/>
  <c r="H8" i="12"/>
  <c r="I8" i="12"/>
  <c r="J8" i="12"/>
  <c r="K8" i="12"/>
  <c r="L8" i="12"/>
  <c r="M8" i="12"/>
  <c r="B9" i="12"/>
  <c r="C9" i="12"/>
  <c r="D9" i="12"/>
  <c r="E9" i="12"/>
  <c r="F9" i="12"/>
  <c r="G9" i="12"/>
  <c r="H9" i="12"/>
  <c r="I9" i="12"/>
  <c r="J9" i="12"/>
  <c r="K9" i="12"/>
  <c r="L9" i="12"/>
  <c r="M9" i="12"/>
  <c r="B10" i="12"/>
  <c r="C10" i="12"/>
  <c r="D10" i="12"/>
  <c r="E10" i="12"/>
  <c r="F10" i="12"/>
  <c r="G10" i="12"/>
  <c r="H10" i="12"/>
  <c r="I10" i="12"/>
  <c r="J10" i="12"/>
  <c r="K10" i="12"/>
  <c r="L10" i="12"/>
  <c r="M10" i="12"/>
  <c r="B11" i="12"/>
  <c r="C11" i="12"/>
  <c r="D11" i="12"/>
  <c r="E11" i="12"/>
  <c r="F11" i="12"/>
  <c r="G11" i="12"/>
  <c r="H11" i="12"/>
  <c r="I11" i="12"/>
  <c r="J11" i="12"/>
  <c r="K11" i="12"/>
  <c r="L11" i="12"/>
  <c r="M11" i="12"/>
  <c r="O4" i="12"/>
  <c r="Y5" i="24"/>
  <c r="N4" i="12"/>
  <c r="L4" i="12"/>
  <c r="M4" i="12"/>
  <c r="K4" i="12"/>
  <c r="I4" i="12"/>
  <c r="J4" i="12"/>
  <c r="H4" i="12"/>
  <c r="F4" i="12"/>
  <c r="G4" i="12"/>
  <c r="E4" i="12"/>
  <c r="C4" i="12"/>
  <c r="D4" i="12"/>
  <c r="B4" i="12"/>
  <c r="B18" i="18"/>
  <c r="N343" i="30"/>
  <c r="M343" i="30"/>
  <c r="L343" i="30"/>
  <c r="K343" i="30"/>
  <c r="J343" i="30"/>
  <c r="I343" i="30"/>
  <c r="H343" i="30"/>
  <c r="G343" i="30"/>
  <c r="F343" i="30"/>
  <c r="E343" i="30"/>
  <c r="D343" i="30"/>
  <c r="C343" i="30"/>
  <c r="N342" i="30"/>
  <c r="M342" i="30"/>
  <c r="L342" i="30"/>
  <c r="K342" i="30"/>
  <c r="J342" i="30"/>
  <c r="I342" i="30"/>
  <c r="H342" i="30"/>
  <c r="G342" i="30"/>
  <c r="F342" i="30"/>
  <c r="E342" i="30"/>
  <c r="D342" i="30"/>
  <c r="C342" i="30"/>
  <c r="N341" i="30"/>
  <c r="M341" i="30"/>
  <c r="L341" i="30"/>
  <c r="K341" i="30"/>
  <c r="J341" i="30"/>
  <c r="I341" i="30"/>
  <c r="H341" i="30"/>
  <c r="G341" i="30"/>
  <c r="F341" i="30"/>
  <c r="E341" i="30"/>
  <c r="D341" i="30"/>
  <c r="C341" i="30"/>
  <c r="N340" i="30"/>
  <c r="M340" i="30"/>
  <c r="L340" i="30"/>
  <c r="K340" i="30"/>
  <c r="J340" i="30"/>
  <c r="I340" i="30"/>
  <c r="H340" i="30"/>
  <c r="G340" i="30"/>
  <c r="F340" i="30"/>
  <c r="E340" i="30"/>
  <c r="D340" i="30"/>
  <c r="C340" i="30"/>
  <c r="N339" i="30"/>
  <c r="M339" i="30"/>
  <c r="L339" i="30"/>
  <c r="K339" i="30"/>
  <c r="J339" i="30"/>
  <c r="I339" i="30"/>
  <c r="H339" i="30"/>
  <c r="G339" i="30"/>
  <c r="F339" i="30"/>
  <c r="E339" i="30"/>
  <c r="D339" i="30"/>
  <c r="C339" i="30"/>
  <c r="N338" i="30"/>
  <c r="M338" i="30"/>
  <c r="L338" i="30"/>
  <c r="K338" i="30"/>
  <c r="J338" i="30"/>
  <c r="I338" i="30"/>
  <c r="H338" i="30"/>
  <c r="G338" i="30"/>
  <c r="F338" i="30"/>
  <c r="E338" i="30"/>
  <c r="D338" i="30"/>
  <c r="C338" i="30"/>
  <c r="N337" i="30"/>
  <c r="M337" i="30"/>
  <c r="L337" i="30"/>
  <c r="K337" i="30"/>
  <c r="J337" i="30"/>
  <c r="I337" i="30"/>
  <c r="H337" i="30"/>
  <c r="G337" i="30"/>
  <c r="F337" i="30"/>
  <c r="E337" i="30"/>
  <c r="D337" i="30"/>
  <c r="C337" i="30"/>
  <c r="N336" i="30"/>
  <c r="M336" i="30"/>
  <c r="L336" i="30"/>
  <c r="K336" i="30"/>
  <c r="J336" i="30"/>
  <c r="I336" i="30"/>
  <c r="H336" i="30"/>
  <c r="G336" i="30"/>
  <c r="F336" i="30"/>
  <c r="E336" i="30"/>
  <c r="D336" i="30"/>
  <c r="C336" i="30"/>
  <c r="N335" i="30"/>
  <c r="M335" i="30"/>
  <c r="L335" i="30"/>
  <c r="K335" i="30"/>
  <c r="J335" i="30"/>
  <c r="I335" i="30"/>
  <c r="H335" i="30"/>
  <c r="G335" i="30"/>
  <c r="F335" i="30"/>
  <c r="E335" i="30"/>
  <c r="D335" i="30"/>
  <c r="C335" i="30"/>
  <c r="N334" i="30"/>
  <c r="M334" i="30"/>
  <c r="L334" i="30"/>
  <c r="K334" i="30"/>
  <c r="J334" i="30"/>
  <c r="I334" i="30"/>
  <c r="H334" i="30"/>
  <c r="G334" i="30"/>
  <c r="F334" i="30"/>
  <c r="E334" i="30"/>
  <c r="D334" i="30"/>
  <c r="C334" i="30"/>
  <c r="O334" i="30" s="1"/>
  <c r="N333" i="30"/>
  <c r="M333" i="30"/>
  <c r="L333" i="30"/>
  <c r="K333" i="30"/>
  <c r="J333" i="30"/>
  <c r="I333" i="30"/>
  <c r="H333" i="30"/>
  <c r="G333" i="30"/>
  <c r="F333" i="30"/>
  <c r="E333" i="30"/>
  <c r="D333" i="30"/>
  <c r="C333" i="30"/>
  <c r="N332" i="30"/>
  <c r="M332" i="30"/>
  <c r="L332" i="30"/>
  <c r="K332" i="30"/>
  <c r="J332" i="30"/>
  <c r="I332" i="30"/>
  <c r="H332" i="30"/>
  <c r="G332" i="30"/>
  <c r="F332" i="30"/>
  <c r="E332" i="30"/>
  <c r="D332" i="30"/>
  <c r="C332" i="30"/>
  <c r="O332" i="30" s="1"/>
  <c r="N331" i="30"/>
  <c r="M331" i="30"/>
  <c r="L331" i="30"/>
  <c r="K331" i="30"/>
  <c r="J331" i="30"/>
  <c r="I331" i="30"/>
  <c r="H331" i="30"/>
  <c r="G331" i="30"/>
  <c r="F331" i="30"/>
  <c r="E331" i="30"/>
  <c r="D331" i="30"/>
  <c r="C331" i="30"/>
  <c r="O331" i="30" s="1"/>
  <c r="P331" i="30" s="1"/>
  <c r="Q331" i="30" s="1"/>
  <c r="N330" i="30"/>
  <c r="M330" i="30"/>
  <c r="L330" i="30"/>
  <c r="K330" i="30"/>
  <c r="J330" i="30"/>
  <c r="I330" i="30"/>
  <c r="H330" i="30"/>
  <c r="G330" i="30"/>
  <c r="F330" i="30"/>
  <c r="E330" i="30"/>
  <c r="D330" i="30"/>
  <c r="C330" i="30"/>
  <c r="O330" i="30" s="1"/>
  <c r="P330" i="30" s="1"/>
  <c r="Q330" i="30" s="1"/>
  <c r="N329" i="30"/>
  <c r="M329" i="30"/>
  <c r="L329" i="30"/>
  <c r="K329" i="30"/>
  <c r="J329" i="30"/>
  <c r="I329" i="30"/>
  <c r="H329" i="30"/>
  <c r="G329" i="30"/>
  <c r="F329" i="30"/>
  <c r="E329" i="30"/>
  <c r="D329" i="30"/>
  <c r="C329" i="30"/>
  <c r="O329" i="30" s="1"/>
  <c r="P329" i="30" s="1"/>
  <c r="N328" i="30"/>
  <c r="M328" i="30"/>
  <c r="L328" i="30"/>
  <c r="K328" i="30"/>
  <c r="J328" i="30"/>
  <c r="I328" i="30"/>
  <c r="H328" i="30"/>
  <c r="G328" i="30"/>
  <c r="F328" i="30"/>
  <c r="E328" i="30"/>
  <c r="D328" i="30"/>
  <c r="C328" i="30"/>
  <c r="O328" i="30" s="1"/>
  <c r="P328" i="30" s="1"/>
  <c r="Q328" i="30" s="1"/>
  <c r="N327" i="30"/>
  <c r="M327" i="30"/>
  <c r="L327" i="30"/>
  <c r="K327" i="30"/>
  <c r="J327" i="30"/>
  <c r="I327" i="30"/>
  <c r="H327" i="30"/>
  <c r="G327" i="30"/>
  <c r="F327" i="30"/>
  <c r="E327" i="30"/>
  <c r="D327" i="30"/>
  <c r="C327" i="30"/>
  <c r="O327" i="30" s="1"/>
  <c r="P327" i="30" s="1"/>
  <c r="N326" i="30"/>
  <c r="M326" i="30"/>
  <c r="L326" i="30"/>
  <c r="K326" i="30"/>
  <c r="J326" i="30"/>
  <c r="I326" i="30"/>
  <c r="H326" i="30"/>
  <c r="G326" i="30"/>
  <c r="F326" i="30"/>
  <c r="E326" i="30"/>
  <c r="D326" i="30"/>
  <c r="C326" i="30"/>
  <c r="N325" i="30"/>
  <c r="M325" i="30"/>
  <c r="L325" i="30"/>
  <c r="K325" i="30"/>
  <c r="J325" i="30"/>
  <c r="I325" i="30"/>
  <c r="H325" i="30"/>
  <c r="G325" i="30"/>
  <c r="F325" i="30"/>
  <c r="E325" i="30"/>
  <c r="D325" i="30"/>
  <c r="C325" i="30"/>
  <c r="O325" i="30" s="1"/>
  <c r="P325" i="30" s="1"/>
  <c r="N324" i="30"/>
  <c r="M324" i="30"/>
  <c r="L324" i="30"/>
  <c r="K324" i="30"/>
  <c r="J324" i="30"/>
  <c r="I324" i="30"/>
  <c r="H324" i="30"/>
  <c r="G324" i="30"/>
  <c r="F324" i="30"/>
  <c r="E324" i="30"/>
  <c r="D324" i="30"/>
  <c r="C324" i="30"/>
  <c r="N323" i="30"/>
  <c r="M323" i="30"/>
  <c r="L323" i="30"/>
  <c r="K323" i="30"/>
  <c r="J323" i="30"/>
  <c r="I323" i="30"/>
  <c r="H323" i="30"/>
  <c r="G323" i="30"/>
  <c r="F323" i="30"/>
  <c r="E323" i="30"/>
  <c r="D323" i="30"/>
  <c r="C323" i="30"/>
  <c r="P319" i="30"/>
  <c r="Q319" i="30" s="1"/>
  <c r="O319" i="30"/>
  <c r="O318" i="30"/>
  <c r="P318" i="30" s="1"/>
  <c r="Q318" i="30" s="1"/>
  <c r="P317" i="30"/>
  <c r="Q317" i="30" s="1"/>
  <c r="O317" i="30"/>
  <c r="O316" i="30"/>
  <c r="P316" i="30" s="1"/>
  <c r="Q316" i="30" s="1"/>
  <c r="P315" i="30"/>
  <c r="Q315" i="30" s="1"/>
  <c r="O315" i="30"/>
  <c r="O314" i="30"/>
  <c r="P314" i="30" s="1"/>
  <c r="Q314" i="30" s="1"/>
  <c r="P313" i="30"/>
  <c r="Q313" i="30" s="1"/>
  <c r="O313" i="30"/>
  <c r="O312" i="30"/>
  <c r="P312" i="30" s="1"/>
  <c r="Q312" i="30" s="1"/>
  <c r="P311" i="30"/>
  <c r="Q311" i="30" s="1"/>
  <c r="O311" i="30"/>
  <c r="O310" i="30"/>
  <c r="P310" i="30" s="1"/>
  <c r="Q310" i="30" s="1"/>
  <c r="O309" i="30"/>
  <c r="O305" i="30"/>
  <c r="P305" i="30" s="1"/>
  <c r="Q305" i="30" s="1"/>
  <c r="P304" i="30"/>
  <c r="Q304" i="30" s="1"/>
  <c r="O304" i="30"/>
  <c r="Q303" i="30"/>
  <c r="O303" i="30"/>
  <c r="P303" i="30" s="1"/>
  <c r="P302" i="30"/>
  <c r="Q302" i="30" s="1"/>
  <c r="O302" i="30"/>
  <c r="O301" i="30"/>
  <c r="P301" i="30" s="1"/>
  <c r="Q301" i="30" s="1"/>
  <c r="P300" i="30"/>
  <c r="Q300" i="30" s="1"/>
  <c r="O300" i="30"/>
  <c r="O299" i="30"/>
  <c r="P299" i="30" s="1"/>
  <c r="Q299" i="30" s="1"/>
  <c r="P298" i="30"/>
  <c r="Q298" i="30" s="1"/>
  <c r="O298" i="30"/>
  <c r="Q297" i="30"/>
  <c r="O297" i="30"/>
  <c r="P297" i="30" s="1"/>
  <c r="P296" i="30"/>
  <c r="Q296" i="30" s="1"/>
  <c r="O296" i="30"/>
  <c r="O295" i="30"/>
  <c r="P295" i="30" s="1"/>
  <c r="Q295" i="30" s="1"/>
  <c r="P294" i="30"/>
  <c r="Q294" i="30" s="1"/>
  <c r="O294" i="30"/>
  <c r="O293" i="30"/>
  <c r="P293" i="30" s="1"/>
  <c r="Q293" i="30" s="1"/>
  <c r="P292" i="30"/>
  <c r="Q292" i="30" s="1"/>
  <c r="O292" i="30"/>
  <c r="Q291" i="30"/>
  <c r="O291" i="30"/>
  <c r="P291" i="30" s="1"/>
  <c r="P290" i="30"/>
  <c r="Q290" i="30" s="1"/>
  <c r="O290" i="30"/>
  <c r="O289" i="30"/>
  <c r="P289" i="30" s="1"/>
  <c r="Q289" i="30" s="1"/>
  <c r="P288" i="30"/>
  <c r="Q288" i="30" s="1"/>
  <c r="O288" i="30"/>
  <c r="O287" i="30"/>
  <c r="P287" i="30" s="1"/>
  <c r="Q287" i="30" s="1"/>
  <c r="O286" i="30"/>
  <c r="O285" i="30"/>
  <c r="P286" i="30" s="1"/>
  <c r="Q286" i="30" s="1"/>
  <c r="O281" i="30"/>
  <c r="O280" i="30"/>
  <c r="O279" i="30"/>
  <c r="O278" i="30"/>
  <c r="O277" i="30"/>
  <c r="O276" i="30"/>
  <c r="O275" i="30"/>
  <c r="O274" i="30"/>
  <c r="O273" i="30"/>
  <c r="O272" i="30"/>
  <c r="O271" i="30"/>
  <c r="O270" i="30"/>
  <c r="O269" i="30"/>
  <c r="O268" i="30"/>
  <c r="O267" i="30"/>
  <c r="O266" i="30"/>
  <c r="O265" i="30"/>
  <c r="O264" i="30"/>
  <c r="O263" i="30"/>
  <c r="O262" i="30"/>
  <c r="O261" i="30"/>
  <c r="O258" i="30"/>
  <c r="P258" i="30" s="1"/>
  <c r="Q258" i="30" s="1"/>
  <c r="P257" i="30"/>
  <c r="Q257" i="30" s="1"/>
  <c r="O257" i="30"/>
  <c r="O256" i="30"/>
  <c r="P256" i="30" s="1"/>
  <c r="Q256" i="30" s="1"/>
  <c r="P255" i="30"/>
  <c r="Q255" i="30" s="1"/>
  <c r="O255" i="30"/>
  <c r="O254" i="30"/>
  <c r="P254" i="30" s="1"/>
  <c r="Q254" i="30" s="1"/>
  <c r="P253" i="30"/>
  <c r="Q253" i="30" s="1"/>
  <c r="O253" i="30"/>
  <c r="O252" i="30"/>
  <c r="P252" i="30" s="1"/>
  <c r="Q252" i="30" s="1"/>
  <c r="P251" i="30"/>
  <c r="Q251" i="30" s="1"/>
  <c r="O251" i="30"/>
  <c r="O250" i="30"/>
  <c r="P250" i="30" s="1"/>
  <c r="Q250" i="30" s="1"/>
  <c r="P249" i="30"/>
  <c r="Q249" i="30" s="1"/>
  <c r="O249" i="30"/>
  <c r="O248" i="30"/>
  <c r="P248" i="30" s="1"/>
  <c r="Q248" i="30" s="1"/>
  <c r="P247" i="30"/>
  <c r="Q247" i="30" s="1"/>
  <c r="O247" i="30"/>
  <c r="O246" i="30"/>
  <c r="P246" i="30" s="1"/>
  <c r="Q246" i="30" s="1"/>
  <c r="P245" i="30"/>
  <c r="Q245" i="30" s="1"/>
  <c r="O245" i="30"/>
  <c r="O244" i="30"/>
  <c r="P244" i="30" s="1"/>
  <c r="Q244" i="30" s="1"/>
  <c r="P243" i="30"/>
  <c r="Q243" i="30" s="1"/>
  <c r="O243" i="30"/>
  <c r="O242" i="30"/>
  <c r="P242" i="30" s="1"/>
  <c r="Q242" i="30" s="1"/>
  <c r="P241" i="30"/>
  <c r="Q241" i="30" s="1"/>
  <c r="O241" i="30"/>
  <c r="O240" i="30"/>
  <c r="P240" i="30" s="1"/>
  <c r="Q240" i="30" s="1"/>
  <c r="P239" i="30"/>
  <c r="Q239" i="30" s="1"/>
  <c r="O239" i="30"/>
  <c r="O238" i="30"/>
  <c r="P234" i="30"/>
  <c r="Q234" i="30" s="1"/>
  <c r="O234" i="30"/>
  <c r="Q233" i="30"/>
  <c r="O233" i="30"/>
  <c r="P233" i="30" s="1"/>
  <c r="P232" i="30"/>
  <c r="Q232" i="30" s="1"/>
  <c r="O232" i="30"/>
  <c r="O231" i="30"/>
  <c r="P231" i="30" s="1"/>
  <c r="Q231" i="30" s="1"/>
  <c r="P230" i="30"/>
  <c r="Q230" i="30" s="1"/>
  <c r="O230" i="30"/>
  <c r="O229" i="30"/>
  <c r="P229" i="30" s="1"/>
  <c r="Q229" i="30" s="1"/>
  <c r="P228" i="30"/>
  <c r="Q228" i="30" s="1"/>
  <c r="O228" i="30"/>
  <c r="Q227" i="30"/>
  <c r="O227" i="30"/>
  <c r="P227" i="30" s="1"/>
  <c r="P226" i="30"/>
  <c r="Q226" i="30" s="1"/>
  <c r="O226" i="30"/>
  <c r="O225" i="30"/>
  <c r="P225" i="30" s="1"/>
  <c r="Q225" i="30" s="1"/>
  <c r="P224" i="30"/>
  <c r="Q224" i="30" s="1"/>
  <c r="O224" i="30"/>
  <c r="O223" i="30"/>
  <c r="P223" i="30" s="1"/>
  <c r="Q223" i="30" s="1"/>
  <c r="O222" i="30"/>
  <c r="O221" i="30"/>
  <c r="P222" i="30" s="1"/>
  <c r="Q222" i="30" s="1"/>
  <c r="O220" i="30"/>
  <c r="O219" i="30"/>
  <c r="P220" i="30" s="1"/>
  <c r="Q220" i="30" s="1"/>
  <c r="O218" i="30"/>
  <c r="O217" i="30"/>
  <c r="P218" i="30" s="1"/>
  <c r="Q218" i="30" s="1"/>
  <c r="O216" i="30"/>
  <c r="O215" i="30"/>
  <c r="P216" i="30" s="1"/>
  <c r="Q216" i="30" s="1"/>
  <c r="O214" i="30"/>
  <c r="O211" i="30"/>
  <c r="P211" i="30" s="1"/>
  <c r="Q211" i="30" s="1"/>
  <c r="O210" i="30"/>
  <c r="O209" i="30"/>
  <c r="O208" i="30"/>
  <c r="O207" i="30"/>
  <c r="O206" i="30"/>
  <c r="O205" i="30"/>
  <c r="O204" i="30"/>
  <c r="O203" i="30"/>
  <c r="O202" i="30"/>
  <c r="O201" i="30"/>
  <c r="O200" i="30"/>
  <c r="O199" i="30"/>
  <c r="O198" i="30"/>
  <c r="O197" i="30"/>
  <c r="O196" i="30"/>
  <c r="O195" i="30"/>
  <c r="O194" i="30"/>
  <c r="O193" i="30"/>
  <c r="P192" i="30"/>
  <c r="Q192" i="30" s="1"/>
  <c r="O192" i="30"/>
  <c r="O191" i="30"/>
  <c r="P187" i="30"/>
  <c r="Q187" i="30" s="1"/>
  <c r="O187" i="30"/>
  <c r="O186" i="30"/>
  <c r="P186" i="30" s="1"/>
  <c r="Q186" i="30" s="1"/>
  <c r="P185" i="30"/>
  <c r="Q185" i="30" s="1"/>
  <c r="O185" i="30"/>
  <c r="O184" i="30"/>
  <c r="P184" i="30" s="1"/>
  <c r="Q184" i="30" s="1"/>
  <c r="P183" i="30"/>
  <c r="Q183" i="30" s="1"/>
  <c r="O183" i="30"/>
  <c r="O182" i="30"/>
  <c r="P182" i="30" s="1"/>
  <c r="Q182" i="30" s="1"/>
  <c r="P181" i="30"/>
  <c r="Q181" i="30" s="1"/>
  <c r="O181" i="30"/>
  <c r="O180" i="30"/>
  <c r="P180" i="30" s="1"/>
  <c r="Q180" i="30" s="1"/>
  <c r="P179" i="30"/>
  <c r="Q179" i="30" s="1"/>
  <c r="O179" i="30"/>
  <c r="Q178" i="30"/>
  <c r="O178" i="30"/>
  <c r="P178" i="30" s="1"/>
  <c r="P177" i="30"/>
  <c r="Q177" i="30" s="1"/>
  <c r="O177" i="30"/>
  <c r="O176" i="30"/>
  <c r="P176" i="30" s="1"/>
  <c r="Q176" i="30" s="1"/>
  <c r="P175" i="30"/>
  <c r="Q175" i="30" s="1"/>
  <c r="O175" i="30"/>
  <c r="O174" i="30"/>
  <c r="P174" i="30" s="1"/>
  <c r="Q174" i="30" s="1"/>
  <c r="P173" i="30"/>
  <c r="Q173" i="30" s="1"/>
  <c r="O173" i="30"/>
  <c r="Q172" i="30"/>
  <c r="O172" i="30"/>
  <c r="P172" i="30" s="1"/>
  <c r="O171" i="30"/>
  <c r="O170" i="30"/>
  <c r="P169" i="30"/>
  <c r="Q169" i="30" s="1"/>
  <c r="O169" i="30"/>
  <c r="O168" i="30"/>
  <c r="P168" i="30" s="1"/>
  <c r="Q168" i="30" s="1"/>
  <c r="O167" i="30"/>
  <c r="Q164" i="30"/>
  <c r="O164" i="30"/>
  <c r="P164" i="30" s="1"/>
  <c r="O163" i="30"/>
  <c r="O162" i="30"/>
  <c r="P161" i="30"/>
  <c r="Q161" i="30" s="1"/>
  <c r="O161" i="30"/>
  <c r="O160" i="30"/>
  <c r="P160" i="30" s="1"/>
  <c r="Q160" i="30" s="1"/>
  <c r="P159" i="30"/>
  <c r="Q159" i="30" s="1"/>
  <c r="O159" i="30"/>
  <c r="O158" i="30"/>
  <c r="P158" i="30" s="1"/>
  <c r="Q158" i="30" s="1"/>
  <c r="P157" i="30"/>
  <c r="Q157" i="30" s="1"/>
  <c r="O157" i="30"/>
  <c r="Q156" i="30"/>
  <c r="P156" i="30"/>
  <c r="O156" i="30"/>
  <c r="O155" i="30"/>
  <c r="Q154" i="30"/>
  <c r="P154" i="30"/>
  <c r="O154" i="30"/>
  <c r="P155" i="30" s="1"/>
  <c r="Q155" i="30" s="1"/>
  <c r="O153" i="30"/>
  <c r="O152" i="30"/>
  <c r="P153" i="30" s="1"/>
  <c r="Q153" i="30" s="1"/>
  <c r="O151" i="30"/>
  <c r="O150" i="30"/>
  <c r="P149" i="30"/>
  <c r="Q149" i="30" s="1"/>
  <c r="O149" i="30"/>
  <c r="O148" i="30"/>
  <c r="P147" i="30"/>
  <c r="Q147" i="30" s="1"/>
  <c r="O147" i="30"/>
  <c r="O146" i="30"/>
  <c r="O145" i="30"/>
  <c r="P145" i="30" s="1"/>
  <c r="Q145" i="30" s="1"/>
  <c r="O144" i="30"/>
  <c r="O140" i="30"/>
  <c r="P139" i="30"/>
  <c r="Q139" i="30" s="1"/>
  <c r="O139" i="30"/>
  <c r="P140" i="30" s="1"/>
  <c r="Q140" i="30" s="1"/>
  <c r="O138" i="30"/>
  <c r="P137" i="30"/>
  <c r="Q137" i="30" s="1"/>
  <c r="O137" i="30"/>
  <c r="P138" i="30" s="1"/>
  <c r="Q138" i="30" s="1"/>
  <c r="O136" i="30"/>
  <c r="P135" i="30"/>
  <c r="Q135" i="30" s="1"/>
  <c r="O135" i="30"/>
  <c r="P136" i="30" s="1"/>
  <c r="Q136" i="30" s="1"/>
  <c r="O134" i="30"/>
  <c r="P133" i="30"/>
  <c r="Q133" i="30" s="1"/>
  <c r="O133" i="30"/>
  <c r="P134" i="30" s="1"/>
  <c r="Q134" i="30" s="1"/>
  <c r="O132" i="30"/>
  <c r="P131" i="30"/>
  <c r="Q131" i="30" s="1"/>
  <c r="O131" i="30"/>
  <c r="P132" i="30" s="1"/>
  <c r="Q132" i="30" s="1"/>
  <c r="O130" i="30"/>
  <c r="P129" i="30"/>
  <c r="Q129" i="30" s="1"/>
  <c r="O129" i="30"/>
  <c r="P130" i="30" s="1"/>
  <c r="Q130" i="30" s="1"/>
  <c r="O128" i="30"/>
  <c r="P127" i="30"/>
  <c r="Q127" i="30" s="1"/>
  <c r="O127" i="30"/>
  <c r="P128" i="30" s="1"/>
  <c r="Q128" i="30" s="1"/>
  <c r="O126" i="30"/>
  <c r="P125" i="30"/>
  <c r="Q125" i="30" s="1"/>
  <c r="O125" i="30"/>
  <c r="P126" i="30" s="1"/>
  <c r="Q126" i="30" s="1"/>
  <c r="O124" i="30"/>
  <c r="P123" i="30"/>
  <c r="Q123" i="30" s="1"/>
  <c r="O123" i="30"/>
  <c r="P124" i="30" s="1"/>
  <c r="Q124" i="30" s="1"/>
  <c r="O122" i="30"/>
  <c r="P121" i="30"/>
  <c r="Q121" i="30" s="1"/>
  <c r="O121" i="30"/>
  <c r="P122" i="30" s="1"/>
  <c r="Q122" i="30" s="1"/>
  <c r="O120" i="30"/>
  <c r="O117" i="30"/>
  <c r="O116" i="30"/>
  <c r="P116" i="30" s="1"/>
  <c r="Q116" i="30" s="1"/>
  <c r="O115" i="30"/>
  <c r="O114" i="30"/>
  <c r="P114" i="30" s="1"/>
  <c r="Q114" i="30" s="1"/>
  <c r="O113" i="30"/>
  <c r="O112" i="30"/>
  <c r="P112" i="30" s="1"/>
  <c r="Q112" i="30" s="1"/>
  <c r="O111" i="30"/>
  <c r="P111" i="30" s="1"/>
  <c r="Q111" i="30" s="1"/>
  <c r="O110" i="30"/>
  <c r="P110" i="30" s="1"/>
  <c r="Q110" i="30" s="1"/>
  <c r="Q109" i="30"/>
  <c r="O109" i="30"/>
  <c r="P109" i="30" s="1"/>
  <c r="O108" i="30"/>
  <c r="O107" i="30"/>
  <c r="P106" i="30"/>
  <c r="Q106" i="30" s="1"/>
  <c r="O106" i="30"/>
  <c r="O105" i="30"/>
  <c r="O104" i="30"/>
  <c r="P104" i="30" s="1"/>
  <c r="Q104" i="30" s="1"/>
  <c r="O103" i="30"/>
  <c r="P102" i="30"/>
  <c r="Q102" i="30" s="1"/>
  <c r="O102" i="30"/>
  <c r="O101" i="30"/>
  <c r="P101" i="30" s="1"/>
  <c r="Q101" i="30" s="1"/>
  <c r="O100" i="30"/>
  <c r="O99" i="30"/>
  <c r="P99" i="30" s="1"/>
  <c r="Q99" i="30" s="1"/>
  <c r="O98" i="30"/>
  <c r="O97" i="30"/>
  <c r="P93" i="30"/>
  <c r="Q93" i="30" s="1"/>
  <c r="O93" i="30"/>
  <c r="O92" i="30"/>
  <c r="O91" i="30"/>
  <c r="P91" i="30" s="1"/>
  <c r="Q91" i="30" s="1"/>
  <c r="O90" i="30"/>
  <c r="O89" i="30"/>
  <c r="P90" i="30" s="1"/>
  <c r="Q90" i="30" s="1"/>
  <c r="P88" i="30"/>
  <c r="Q88" i="30" s="1"/>
  <c r="O88" i="30"/>
  <c r="O87" i="30"/>
  <c r="O86" i="30"/>
  <c r="P86" i="30" s="1"/>
  <c r="Q86" i="30" s="1"/>
  <c r="O85" i="30"/>
  <c r="O84" i="30"/>
  <c r="P85" i="30" s="1"/>
  <c r="Q85" i="30" s="1"/>
  <c r="O83" i="30"/>
  <c r="P83" i="30" s="1"/>
  <c r="Q83" i="30" s="1"/>
  <c r="O82" i="30"/>
  <c r="O81" i="30"/>
  <c r="P81" i="30" s="1"/>
  <c r="Q81" i="30" s="1"/>
  <c r="O80" i="30"/>
  <c r="P79" i="30"/>
  <c r="Q79" i="30" s="1"/>
  <c r="O79" i="30"/>
  <c r="O78" i="30"/>
  <c r="O77" i="30"/>
  <c r="P77" i="30" s="1"/>
  <c r="Q77" i="30" s="1"/>
  <c r="O76" i="30"/>
  <c r="O75" i="30"/>
  <c r="P75" i="30" s="1"/>
  <c r="Q75" i="30" s="1"/>
  <c r="O74" i="30"/>
  <c r="O73" i="30"/>
  <c r="Q70" i="30"/>
  <c r="P70" i="30"/>
  <c r="O70" i="30"/>
  <c r="P69" i="30"/>
  <c r="Q69" i="30" s="1"/>
  <c r="O69" i="30"/>
  <c r="O68" i="30"/>
  <c r="O67" i="30"/>
  <c r="P68" i="30" s="1"/>
  <c r="Q68" i="30" s="1"/>
  <c r="P66" i="30"/>
  <c r="Q66" i="30" s="1"/>
  <c r="O66" i="30"/>
  <c r="P65" i="30"/>
  <c r="Q65" i="30" s="1"/>
  <c r="O65" i="30"/>
  <c r="O64" i="30"/>
  <c r="P63" i="30"/>
  <c r="Q63" i="30" s="1"/>
  <c r="O63" i="30"/>
  <c r="P64" i="30" s="1"/>
  <c r="Q64" i="30" s="1"/>
  <c r="O62" i="30"/>
  <c r="O61" i="30"/>
  <c r="P62" i="30" s="1"/>
  <c r="Q62" i="30" s="1"/>
  <c r="O60" i="30"/>
  <c r="O59" i="30"/>
  <c r="P59" i="30" s="1"/>
  <c r="Q59" i="30" s="1"/>
  <c r="Q58" i="30"/>
  <c r="P58" i="30"/>
  <c r="O58" i="30"/>
  <c r="O57" i="30"/>
  <c r="P57" i="30" s="1"/>
  <c r="Q57" i="30" s="1"/>
  <c r="Q56" i="30"/>
  <c r="P56" i="30"/>
  <c r="O56" i="30"/>
  <c r="O55" i="30"/>
  <c r="P55" i="30" s="1"/>
  <c r="Q55" i="30" s="1"/>
  <c r="Q54" i="30"/>
  <c r="P54" i="30"/>
  <c r="O54" i="30"/>
  <c r="O53" i="30"/>
  <c r="P53" i="30" s="1"/>
  <c r="Q53" i="30" s="1"/>
  <c r="Q52" i="30"/>
  <c r="P52" i="30"/>
  <c r="O52" i="30"/>
  <c r="O51" i="30"/>
  <c r="P51" i="30" s="1"/>
  <c r="Q51" i="30" s="1"/>
  <c r="O50" i="30"/>
  <c r="O46" i="30"/>
  <c r="O45" i="30"/>
  <c r="P45" i="30" s="1"/>
  <c r="Q45" i="30" s="1"/>
  <c r="Q44" i="30"/>
  <c r="O44" i="30"/>
  <c r="P44" i="30" s="1"/>
  <c r="O43" i="30"/>
  <c r="O42" i="30"/>
  <c r="P42" i="30" s="1"/>
  <c r="Q42" i="30" s="1"/>
  <c r="O41" i="30"/>
  <c r="P41" i="30" s="1"/>
  <c r="Q41" i="30" s="1"/>
  <c r="O40" i="30"/>
  <c r="P40" i="30" s="1"/>
  <c r="Q40" i="30" s="1"/>
  <c r="Q39" i="30"/>
  <c r="P39" i="30"/>
  <c r="O39" i="30"/>
  <c r="O38" i="30"/>
  <c r="P37" i="30"/>
  <c r="Q37" i="30" s="1"/>
  <c r="O37" i="30"/>
  <c r="O36" i="30"/>
  <c r="O35" i="30"/>
  <c r="P35" i="30" s="1"/>
  <c r="Q35" i="30" s="1"/>
  <c r="O34" i="30"/>
  <c r="O33" i="30"/>
  <c r="P33" i="30" s="1"/>
  <c r="Q33" i="30" s="1"/>
  <c r="Q32" i="30"/>
  <c r="O32" i="30"/>
  <c r="P32" i="30" s="1"/>
  <c r="O31" i="30"/>
  <c r="O30" i="30"/>
  <c r="P30" i="30" s="1"/>
  <c r="Q30" i="30" s="1"/>
  <c r="O29" i="30"/>
  <c r="P29" i="30" s="1"/>
  <c r="Q29" i="30" s="1"/>
  <c r="O28" i="30"/>
  <c r="P28" i="30" s="1"/>
  <c r="Q28" i="30" s="1"/>
  <c r="O27" i="30"/>
  <c r="O26" i="30"/>
  <c r="P27" i="30" s="1"/>
  <c r="Q27" i="30" s="1"/>
  <c r="O23" i="30"/>
  <c r="O343" i="30" s="1"/>
  <c r="Q22" i="30"/>
  <c r="P22" i="30"/>
  <c r="O22" i="30"/>
  <c r="P21" i="30"/>
  <c r="Q21" i="30" s="1"/>
  <c r="O21" i="30"/>
  <c r="P20" i="30"/>
  <c r="Q20" i="30" s="1"/>
  <c r="O20" i="30"/>
  <c r="O340" i="30" s="1"/>
  <c r="O19" i="30"/>
  <c r="O339" i="30" s="1"/>
  <c r="O18" i="30"/>
  <c r="O338" i="30" s="1"/>
  <c r="P17" i="30"/>
  <c r="Q17" i="30" s="1"/>
  <c r="O17" i="30"/>
  <c r="O16" i="30"/>
  <c r="O336" i="30" s="1"/>
  <c r="P15" i="30"/>
  <c r="Q15" i="30" s="1"/>
  <c r="O15" i="30"/>
  <c r="O14" i="30"/>
  <c r="O13" i="30"/>
  <c r="P14" i="30" s="1"/>
  <c r="Q14" i="30" s="1"/>
  <c r="O12" i="30"/>
  <c r="P12" i="30" s="1"/>
  <c r="Q12" i="30" s="1"/>
  <c r="O11" i="30"/>
  <c r="P11" i="30" s="1"/>
  <c r="Q11" i="30" s="1"/>
  <c r="Q10" i="30"/>
  <c r="P10" i="30"/>
  <c r="O10" i="30"/>
  <c r="O9" i="30"/>
  <c r="P8" i="30"/>
  <c r="Q8" i="30" s="1"/>
  <c r="O8" i="30"/>
  <c r="P9" i="30" s="1"/>
  <c r="Q9" i="30" s="1"/>
  <c r="O7" i="30"/>
  <c r="P7" i="30" s="1"/>
  <c r="Q7" i="30" s="1"/>
  <c r="O6" i="30"/>
  <c r="P6" i="30" s="1"/>
  <c r="Q6" i="30" s="1"/>
  <c r="P5" i="30"/>
  <c r="Q5" i="30" s="1"/>
  <c r="O5" i="30"/>
  <c r="O4" i="30"/>
  <c r="P4" i="30" s="1"/>
  <c r="Q4" i="30" s="1"/>
  <c r="O3" i="30"/>
  <c r="O3" i="26"/>
  <c r="L3" i="26"/>
  <c r="M3" i="26"/>
  <c r="K3" i="26"/>
  <c r="I3" i="26"/>
  <c r="J3" i="26"/>
  <c r="H3" i="26"/>
  <c r="F3" i="26"/>
  <c r="G3" i="26"/>
  <c r="E3" i="26"/>
  <c r="C3" i="26"/>
  <c r="D3" i="26"/>
  <c r="B3" i="26"/>
  <c r="U29" i="24"/>
  <c r="T29" i="24"/>
  <c r="V29" i="24" s="1"/>
  <c r="W29" i="24" s="1"/>
  <c r="S29" i="24"/>
  <c r="P29" i="24"/>
  <c r="O29" i="24"/>
  <c r="N29" i="24"/>
  <c r="Q29" i="24" s="1"/>
  <c r="R29" i="24" s="1"/>
  <c r="K29" i="24"/>
  <c r="J29" i="24"/>
  <c r="I29" i="24"/>
  <c r="L29" i="24" s="1"/>
  <c r="M29" i="24" s="1"/>
  <c r="F29" i="24"/>
  <c r="E29" i="24"/>
  <c r="X28" i="24"/>
  <c r="Y28" i="24" s="1"/>
  <c r="V28" i="24"/>
  <c r="W28" i="24" s="1"/>
  <c r="Q28" i="24"/>
  <c r="R28" i="24" s="1"/>
  <c r="L28" i="24"/>
  <c r="M28" i="24" s="1"/>
  <c r="G28" i="24"/>
  <c r="H28" i="24" s="1"/>
  <c r="Y27" i="24"/>
  <c r="V27" i="24"/>
  <c r="W27" i="24" s="1"/>
  <c r="R27" i="24"/>
  <c r="Q27" i="24"/>
  <c r="M27" i="24"/>
  <c r="L27" i="24"/>
  <c r="G27" i="24"/>
  <c r="H27" i="24" s="1"/>
  <c r="Y26" i="24"/>
  <c r="X26" i="24"/>
  <c r="W26" i="24"/>
  <c r="V26" i="24"/>
  <c r="Q26" i="24"/>
  <c r="R26" i="24" s="1"/>
  <c r="M26" i="24"/>
  <c r="L26" i="24"/>
  <c r="H26" i="24"/>
  <c r="G26" i="24"/>
  <c r="X25" i="24"/>
  <c r="Y25" i="24" s="1"/>
  <c r="W25" i="24"/>
  <c r="V25" i="24"/>
  <c r="R25" i="24"/>
  <c r="Q25" i="24"/>
  <c r="L25" i="24"/>
  <c r="M25" i="24" s="1"/>
  <c r="H25" i="24"/>
  <c r="G25" i="24"/>
  <c r="Y24" i="24"/>
  <c r="X24" i="24"/>
  <c r="V24" i="24"/>
  <c r="W24" i="24" s="1"/>
  <c r="R24" i="24"/>
  <c r="Q24" i="24"/>
  <c r="M24" i="24"/>
  <c r="L24" i="24"/>
  <c r="G24" i="24"/>
  <c r="H24" i="24" s="1"/>
  <c r="T23" i="24"/>
  <c r="V23" i="24" s="1"/>
  <c r="W23" i="24" s="1"/>
  <c r="Q23" i="24"/>
  <c r="R23" i="24" s="1"/>
  <c r="L23" i="24"/>
  <c r="M23" i="24" s="1"/>
  <c r="G23" i="24"/>
  <c r="H23" i="24" s="1"/>
  <c r="X22" i="24"/>
  <c r="Y22" i="24" s="1"/>
  <c r="V22" i="24"/>
  <c r="W22" i="24" s="1"/>
  <c r="Q22" i="24"/>
  <c r="R22" i="24" s="1"/>
  <c r="L22" i="24"/>
  <c r="M22" i="24" s="1"/>
  <c r="G22" i="24"/>
  <c r="H22" i="24" s="1"/>
  <c r="X21" i="24"/>
  <c r="Y21" i="24" s="1"/>
  <c r="V21" i="24"/>
  <c r="W21" i="24" s="1"/>
  <c r="T21" i="24"/>
  <c r="R21" i="24"/>
  <c r="Q21" i="24"/>
  <c r="L21" i="24"/>
  <c r="M21" i="24" s="1"/>
  <c r="D21" i="24"/>
  <c r="D29" i="24" s="1"/>
  <c r="G29" i="24" s="1"/>
  <c r="H29" i="24" s="1"/>
  <c r="B21" i="24"/>
  <c r="Y20" i="24"/>
  <c r="R20" i="24"/>
  <c r="U19" i="24"/>
  <c r="U30" i="24" s="1"/>
  <c r="S19" i="24"/>
  <c r="S30" i="24" s="1"/>
  <c r="O19" i="24"/>
  <c r="O30" i="24" s="1"/>
  <c r="K19" i="24"/>
  <c r="K30" i="24" s="1"/>
  <c r="I19" i="24"/>
  <c r="I30" i="24" s="1"/>
  <c r="L30" i="24" s="1"/>
  <c r="E19" i="24"/>
  <c r="E30" i="24" s="1"/>
  <c r="Y18" i="24"/>
  <c r="V18" i="24"/>
  <c r="W18" i="24" s="1"/>
  <c r="Q18" i="24"/>
  <c r="R18" i="24" s="1"/>
  <c r="L18" i="24"/>
  <c r="M18" i="24" s="1"/>
  <c r="G18" i="24"/>
  <c r="H18" i="24" s="1"/>
  <c r="X17" i="24"/>
  <c r="Y17" i="24" s="1"/>
  <c r="V17" i="24"/>
  <c r="W17" i="24" s="1"/>
  <c r="Q17" i="24"/>
  <c r="R17" i="24" s="1"/>
  <c r="L17" i="24"/>
  <c r="M17" i="24" s="1"/>
  <c r="G17" i="24"/>
  <c r="H17" i="24" s="1"/>
  <c r="U16" i="24"/>
  <c r="T16" i="24"/>
  <c r="T19" i="24" s="1"/>
  <c r="T30" i="24" s="1"/>
  <c r="S16" i="24"/>
  <c r="V16" i="24" s="1"/>
  <c r="W16" i="24" s="1"/>
  <c r="P16" i="24"/>
  <c r="P19" i="24" s="1"/>
  <c r="P30" i="24" s="1"/>
  <c r="O16" i="24"/>
  <c r="N16" i="24"/>
  <c r="N19" i="24" s="1"/>
  <c r="L16" i="24"/>
  <c r="M16" i="24" s="1"/>
  <c r="K16" i="24"/>
  <c r="J16" i="24"/>
  <c r="J19" i="24" s="1"/>
  <c r="J30" i="24" s="1"/>
  <c r="I16" i="24"/>
  <c r="F16" i="24"/>
  <c r="X16" i="24" s="1"/>
  <c r="Y16" i="24" s="1"/>
  <c r="E16" i="24"/>
  <c r="D16" i="24"/>
  <c r="D19" i="24" s="1"/>
  <c r="C16" i="24"/>
  <c r="B16" i="24"/>
  <c r="X15" i="24"/>
  <c r="Y15" i="24" s="1"/>
  <c r="V15" i="24"/>
  <c r="W15" i="24" s="1"/>
  <c r="Q15" i="24"/>
  <c r="R15" i="24" s="1"/>
  <c r="L15" i="24"/>
  <c r="M15" i="24" s="1"/>
  <c r="G15" i="24"/>
  <c r="H15" i="24" s="1"/>
  <c r="X14" i="24"/>
  <c r="Y14" i="24" s="1"/>
  <c r="V14" i="24"/>
  <c r="W14" i="24" s="1"/>
  <c r="Q14" i="24"/>
  <c r="R14" i="24" s="1"/>
  <c r="L14" i="24"/>
  <c r="M14" i="24" s="1"/>
  <c r="G14" i="24"/>
  <c r="H14" i="24" s="1"/>
  <c r="X13" i="24"/>
  <c r="Y13" i="24" s="1"/>
  <c r="V13" i="24"/>
  <c r="W13" i="24" s="1"/>
  <c r="Q13" i="24"/>
  <c r="R13" i="24" s="1"/>
  <c r="L13" i="24"/>
  <c r="M13" i="24" s="1"/>
  <c r="G13" i="24"/>
  <c r="H13" i="24" s="1"/>
  <c r="C13" i="24"/>
  <c r="B13" i="24"/>
  <c r="X12" i="24"/>
  <c r="Y12" i="24" s="1"/>
  <c r="V12" i="24"/>
  <c r="W12" i="24" s="1"/>
  <c r="Q12" i="24"/>
  <c r="R12" i="24" s="1"/>
  <c r="L12" i="24"/>
  <c r="M12" i="24" s="1"/>
  <c r="G12" i="24"/>
  <c r="H12" i="24" s="1"/>
  <c r="X11" i="24"/>
  <c r="Y11" i="24" s="1"/>
  <c r="V11" i="24"/>
  <c r="W11" i="24" s="1"/>
  <c r="Q11" i="24"/>
  <c r="R11" i="24" s="1"/>
  <c r="L11" i="24"/>
  <c r="M11" i="24" s="1"/>
  <c r="G11" i="24"/>
  <c r="H11" i="24" s="1"/>
  <c r="X10" i="24"/>
  <c r="Y10" i="24" s="1"/>
  <c r="V10" i="24"/>
  <c r="W10" i="24" s="1"/>
  <c r="Q10" i="24"/>
  <c r="R10" i="24" s="1"/>
  <c r="L10" i="24"/>
  <c r="M10" i="24" s="1"/>
  <c r="G10" i="24"/>
  <c r="H10" i="24" s="1"/>
  <c r="X9" i="24"/>
  <c r="Y9" i="24" s="1"/>
  <c r="V9" i="24"/>
  <c r="W9" i="24" s="1"/>
  <c r="Q9" i="24"/>
  <c r="R9" i="24" s="1"/>
  <c r="L9" i="24"/>
  <c r="M9" i="24" s="1"/>
  <c r="G9" i="24"/>
  <c r="H9" i="24" s="1"/>
  <c r="X8" i="24"/>
  <c r="Y8" i="24" s="1"/>
  <c r="V8" i="24"/>
  <c r="W8" i="24" s="1"/>
  <c r="Q8" i="24"/>
  <c r="R8" i="24" s="1"/>
  <c r="L8" i="24"/>
  <c r="M8" i="24" s="1"/>
  <c r="G8" i="24"/>
  <c r="H8" i="24" s="1"/>
  <c r="X7" i="24"/>
  <c r="Y7" i="24" s="1"/>
  <c r="V7" i="24"/>
  <c r="W7" i="24" s="1"/>
  <c r="Q7" i="24"/>
  <c r="R7" i="24" s="1"/>
  <c r="L7" i="24"/>
  <c r="M7" i="24" s="1"/>
  <c r="G7" i="24"/>
  <c r="H7" i="24" s="1"/>
  <c r="X6" i="24"/>
  <c r="Y6" i="24" s="1"/>
  <c r="V6" i="24"/>
  <c r="W6" i="24" s="1"/>
  <c r="Q6" i="24"/>
  <c r="R6" i="24" s="1"/>
  <c r="L6" i="24"/>
  <c r="M6" i="24" s="1"/>
  <c r="G6" i="24"/>
  <c r="H6" i="24" s="1"/>
  <c r="X5" i="24"/>
  <c r="V5" i="24"/>
  <c r="W5" i="24" s="1"/>
  <c r="Q5" i="24"/>
  <c r="R5" i="24" s="1"/>
  <c r="L5" i="24"/>
  <c r="M5" i="24" s="1"/>
  <c r="G5" i="24"/>
  <c r="H5" i="24" s="1"/>
  <c r="P339" i="30" l="1"/>
  <c r="Q339" i="30" s="1"/>
  <c r="P31" i="30"/>
  <c r="Q31" i="30" s="1"/>
  <c r="P36" i="30"/>
  <c r="Q36" i="30" s="1"/>
  <c r="P43" i="30"/>
  <c r="Q43" i="30" s="1"/>
  <c r="O337" i="30"/>
  <c r="P337" i="30" s="1"/>
  <c r="Q337" i="30" s="1"/>
  <c r="P19" i="30"/>
  <c r="Q19" i="30" s="1"/>
  <c r="O342" i="30"/>
  <c r="P342" i="30" s="1"/>
  <c r="Q342" i="30" s="1"/>
  <c r="P34" i="30"/>
  <c r="Q34" i="30" s="1"/>
  <c r="P46" i="30"/>
  <c r="Q46" i="30" s="1"/>
  <c r="P60" i="30"/>
  <c r="Q60" i="30" s="1"/>
  <c r="P67" i="30"/>
  <c r="Q67" i="30" s="1"/>
  <c r="P78" i="30"/>
  <c r="Q78" i="30" s="1"/>
  <c r="P84" i="30"/>
  <c r="Q84" i="30" s="1"/>
  <c r="P87" i="30"/>
  <c r="Q87" i="30" s="1"/>
  <c r="P146" i="30"/>
  <c r="Q146" i="30" s="1"/>
  <c r="P150" i="30"/>
  <c r="Q150" i="30" s="1"/>
  <c r="P151" i="30"/>
  <c r="Q151" i="30" s="1"/>
  <c r="Q329" i="30"/>
  <c r="P340" i="30"/>
  <c r="Q340" i="30" s="1"/>
  <c r="P100" i="30"/>
  <c r="Q100" i="30" s="1"/>
  <c r="P76" i="30"/>
  <c r="Q76" i="30" s="1"/>
  <c r="P82" i="30"/>
  <c r="Q82" i="30" s="1"/>
  <c r="P162" i="30"/>
  <c r="Q162" i="30" s="1"/>
  <c r="P163" i="30"/>
  <c r="Q163" i="30" s="1"/>
  <c r="P13" i="30"/>
  <c r="Q13" i="30" s="1"/>
  <c r="P336" i="30"/>
  <c r="Q336" i="30" s="1"/>
  <c r="P18" i="30"/>
  <c r="Q18" i="30" s="1"/>
  <c r="G345" i="30"/>
  <c r="P343" i="30"/>
  <c r="Q343" i="30" s="1"/>
  <c r="P61" i="30"/>
  <c r="Q61" i="30" s="1"/>
  <c r="P98" i="30"/>
  <c r="Q98" i="30" s="1"/>
  <c r="P107" i="30"/>
  <c r="Q107" i="30" s="1"/>
  <c r="P108" i="30"/>
  <c r="Q108" i="30" s="1"/>
  <c r="P148" i="30"/>
  <c r="Q148" i="30" s="1"/>
  <c r="P152" i="30"/>
  <c r="Q152" i="30" s="1"/>
  <c r="P16" i="30"/>
  <c r="Q16" i="30" s="1"/>
  <c r="O341" i="30"/>
  <c r="P341" i="30" s="1"/>
  <c r="Q341" i="30" s="1"/>
  <c r="P23" i="30"/>
  <c r="Q23" i="30" s="1"/>
  <c r="P38" i="30"/>
  <c r="Q38" i="30" s="1"/>
  <c r="P74" i="30"/>
  <c r="Q74" i="30" s="1"/>
  <c r="P80" i="30"/>
  <c r="Q80" i="30" s="1"/>
  <c r="P89" i="30"/>
  <c r="Q89" i="30" s="1"/>
  <c r="P92" i="30"/>
  <c r="Q92" i="30" s="1"/>
  <c r="P170" i="30"/>
  <c r="Q170" i="30" s="1"/>
  <c r="P171" i="30"/>
  <c r="Q171" i="30" s="1"/>
  <c r="P194" i="30"/>
  <c r="Q194" i="30" s="1"/>
  <c r="P193" i="30"/>
  <c r="Q193" i="30" s="1"/>
  <c r="P200" i="30"/>
  <c r="Q200" i="30" s="1"/>
  <c r="P199" i="30"/>
  <c r="Q199" i="30" s="1"/>
  <c r="P206" i="30"/>
  <c r="Q206" i="30" s="1"/>
  <c r="P205" i="30"/>
  <c r="Q205" i="30" s="1"/>
  <c r="P265" i="30"/>
  <c r="Q265" i="30" s="1"/>
  <c r="P264" i="30"/>
  <c r="Q264" i="30" s="1"/>
  <c r="P271" i="30"/>
  <c r="Q271" i="30" s="1"/>
  <c r="P270" i="30"/>
  <c r="Q270" i="30" s="1"/>
  <c r="P277" i="30"/>
  <c r="Q277" i="30" s="1"/>
  <c r="P276" i="30"/>
  <c r="Q276" i="30" s="1"/>
  <c r="P105" i="30"/>
  <c r="Q105" i="30" s="1"/>
  <c r="P117" i="30"/>
  <c r="Q117" i="30" s="1"/>
  <c r="P196" i="30"/>
  <c r="Q196" i="30" s="1"/>
  <c r="P195" i="30"/>
  <c r="Q195" i="30" s="1"/>
  <c r="P208" i="30"/>
  <c r="Q208" i="30" s="1"/>
  <c r="P207" i="30"/>
  <c r="Q207" i="30" s="1"/>
  <c r="P103" i="30"/>
  <c r="Q103" i="30" s="1"/>
  <c r="P115" i="30"/>
  <c r="Q115" i="30" s="1"/>
  <c r="O326" i="30"/>
  <c r="P326" i="30" s="1"/>
  <c r="Q326" i="30" s="1"/>
  <c r="O335" i="30"/>
  <c r="P335" i="30" s="1"/>
  <c r="Q335" i="30" s="1"/>
  <c r="P113" i="30"/>
  <c r="Q113" i="30" s="1"/>
  <c r="P198" i="30"/>
  <c r="Q198" i="30" s="1"/>
  <c r="P197" i="30"/>
  <c r="Q197" i="30" s="1"/>
  <c r="P204" i="30"/>
  <c r="Q204" i="30" s="1"/>
  <c r="P203" i="30"/>
  <c r="Q203" i="30" s="1"/>
  <c r="P210" i="30"/>
  <c r="Q210" i="30" s="1"/>
  <c r="P209" i="30"/>
  <c r="Q209" i="30" s="1"/>
  <c r="P263" i="30"/>
  <c r="Q263" i="30" s="1"/>
  <c r="P262" i="30"/>
  <c r="Q262" i="30" s="1"/>
  <c r="P269" i="30"/>
  <c r="Q269" i="30" s="1"/>
  <c r="P268" i="30"/>
  <c r="Q268" i="30" s="1"/>
  <c r="P275" i="30"/>
  <c r="Q275" i="30" s="1"/>
  <c r="P274" i="30"/>
  <c r="Q274" i="30" s="1"/>
  <c r="P281" i="30"/>
  <c r="Q281" i="30" s="1"/>
  <c r="P280" i="30"/>
  <c r="Q280" i="30" s="1"/>
  <c r="P332" i="30"/>
  <c r="Q332" i="30" s="1"/>
  <c r="P202" i="30"/>
  <c r="Q202" i="30" s="1"/>
  <c r="P201" i="30"/>
  <c r="Q201" i="30" s="1"/>
  <c r="P267" i="30"/>
  <c r="Q267" i="30" s="1"/>
  <c r="P266" i="30"/>
  <c r="Q266" i="30" s="1"/>
  <c r="P273" i="30"/>
  <c r="Q273" i="30" s="1"/>
  <c r="P272" i="30"/>
  <c r="Q272" i="30" s="1"/>
  <c r="P279" i="30"/>
  <c r="Q279" i="30" s="1"/>
  <c r="P278" i="30"/>
  <c r="Q278" i="30" s="1"/>
  <c r="O323" i="30"/>
  <c r="O324" i="30"/>
  <c r="P324" i="30" s="1"/>
  <c r="Q324" i="30" s="1"/>
  <c r="O333" i="30"/>
  <c r="P333" i="30" s="1"/>
  <c r="Q333" i="30" s="1"/>
  <c r="P215" i="30"/>
  <c r="Q215" i="30" s="1"/>
  <c r="P217" i="30"/>
  <c r="Q217" i="30" s="1"/>
  <c r="P219" i="30"/>
  <c r="Q219" i="30" s="1"/>
  <c r="P221" i="30"/>
  <c r="Q221" i="30" s="1"/>
  <c r="N30" i="24"/>
  <c r="Q30" i="24" s="1"/>
  <c r="R30" i="24" s="1"/>
  <c r="Q19" i="24"/>
  <c r="R19" i="24" s="1"/>
  <c r="D30" i="24"/>
  <c r="G19" i="24"/>
  <c r="X19" i="24"/>
  <c r="V30" i="24"/>
  <c r="Q16" i="24"/>
  <c r="R16" i="24" s="1"/>
  <c r="F19" i="24"/>
  <c r="F30" i="24" s="1"/>
  <c r="L19" i="24"/>
  <c r="M19" i="24" s="1"/>
  <c r="M30" i="24" s="1"/>
  <c r="G21" i="24"/>
  <c r="H21" i="24" s="1"/>
  <c r="X23" i="24"/>
  <c r="Y23" i="24" s="1"/>
  <c r="G16" i="24"/>
  <c r="H16" i="24" s="1"/>
  <c r="V19" i="24"/>
  <c r="W19" i="24" s="1"/>
  <c r="W30" i="24" s="1"/>
  <c r="P338" i="30" l="1"/>
  <c r="Q338" i="30" s="1"/>
  <c r="R341" i="30" s="1"/>
  <c r="R338" i="30"/>
  <c r="Q325" i="30"/>
  <c r="R331" i="30" s="1"/>
  <c r="R328" i="30"/>
  <c r="R325" i="30"/>
  <c r="R326" i="30"/>
  <c r="R330" i="30"/>
  <c r="R327" i="30"/>
  <c r="P334" i="30"/>
  <c r="Q334" i="30" s="1"/>
  <c r="R340" i="30" s="1"/>
  <c r="R332" i="30"/>
  <c r="Q327" i="30"/>
  <c r="R333" i="30" s="1"/>
  <c r="X30" i="24"/>
  <c r="Y30" i="24" s="1"/>
  <c r="Y19" i="24"/>
  <c r="G30" i="24"/>
  <c r="H19" i="24"/>
  <c r="H30" i="24" s="1"/>
  <c r="X29" i="24"/>
  <c r="Y29" i="24" s="1"/>
  <c r="R343" i="30" l="1"/>
  <c r="R342" i="30"/>
  <c r="R335" i="30"/>
  <c r="R339" i="30"/>
  <c r="R334" i="30"/>
  <c r="R337" i="30"/>
  <c r="R336" i="30"/>
  <c r="R329" i="30"/>
  <c r="P37" i="32"/>
  <c r="O37" i="32"/>
  <c r="N37" i="32"/>
  <c r="M37" i="32"/>
  <c r="L37" i="32"/>
  <c r="K37" i="32"/>
  <c r="J37" i="32"/>
  <c r="I37" i="32"/>
  <c r="H37" i="32"/>
  <c r="G37" i="32"/>
  <c r="F37" i="32"/>
  <c r="E37" i="32"/>
  <c r="D37" i="32"/>
  <c r="C37" i="32"/>
  <c r="B37" i="32"/>
  <c r="P36" i="32"/>
  <c r="O36" i="32"/>
  <c r="N36" i="32"/>
  <c r="M36" i="32"/>
  <c r="L36" i="32"/>
  <c r="K36" i="32"/>
  <c r="J36" i="32"/>
  <c r="I36" i="32"/>
  <c r="H36" i="32"/>
  <c r="G36" i="32"/>
  <c r="F36" i="32"/>
  <c r="E36" i="32"/>
  <c r="D36" i="32"/>
  <c r="C36" i="32"/>
  <c r="B36" i="32"/>
  <c r="Q37" i="32" s="1"/>
  <c r="B40" i="32" s="1"/>
  <c r="H41" i="32" s="1"/>
  <c r="Q22" i="32"/>
  <c r="P18" i="32"/>
  <c r="O18" i="32"/>
  <c r="N18" i="32"/>
  <c r="M18" i="32"/>
  <c r="L18" i="32"/>
  <c r="K18" i="32"/>
  <c r="J18" i="32"/>
  <c r="I18" i="32"/>
  <c r="H18" i="32"/>
  <c r="G18" i="32"/>
  <c r="F18" i="32"/>
  <c r="E18" i="32"/>
  <c r="D18" i="32"/>
  <c r="C18" i="32"/>
  <c r="B18" i="32"/>
  <c r="P17" i="32"/>
  <c r="O17" i="32"/>
  <c r="N17" i="32"/>
  <c r="M17" i="32"/>
  <c r="L17" i="32"/>
  <c r="K17" i="32"/>
  <c r="J17" i="32"/>
  <c r="I17" i="32"/>
  <c r="H17" i="32"/>
  <c r="G17" i="32"/>
  <c r="F17" i="32"/>
  <c r="E17" i="32"/>
  <c r="D17" i="32"/>
  <c r="C17" i="32"/>
  <c r="B17" i="32"/>
  <c r="Q18" i="32" s="1"/>
  <c r="Q3" i="32"/>
  <c r="N3" i="26" l="1"/>
  <c r="G68" i="24" l="1"/>
  <c r="H68" i="24" s="1"/>
  <c r="L68" i="24"/>
  <c r="M68" i="24" s="1"/>
  <c r="Q68" i="24"/>
  <c r="R68" i="24" s="1"/>
  <c r="V68" i="24"/>
  <c r="W68" i="24" s="1"/>
  <c r="X68" i="24"/>
  <c r="Y68" i="24" s="1"/>
  <c r="G69" i="24"/>
  <c r="H69" i="24"/>
  <c r="L69" i="24"/>
  <c r="M69" i="24" s="1"/>
  <c r="Q69" i="24"/>
  <c r="R69" i="24" s="1"/>
  <c r="V69" i="24"/>
  <c r="W69" i="24" s="1"/>
  <c r="X69" i="24"/>
  <c r="Y69" i="24" s="1"/>
  <c r="G70" i="24"/>
  <c r="H70" i="24" s="1"/>
  <c r="L70" i="24"/>
  <c r="M70" i="24" s="1"/>
  <c r="Q70" i="24"/>
  <c r="R70" i="24" s="1"/>
  <c r="V70" i="24"/>
  <c r="W70" i="24" s="1"/>
  <c r="X70" i="24"/>
  <c r="Y70" i="24" s="1"/>
  <c r="G71" i="24"/>
  <c r="H71" i="24" s="1"/>
  <c r="L71" i="24"/>
  <c r="M71" i="24" s="1"/>
  <c r="Q71" i="24"/>
  <c r="R71" i="24" s="1"/>
  <c r="V71" i="24"/>
  <c r="W71" i="24" s="1"/>
  <c r="X71" i="24"/>
  <c r="Y71" i="24" s="1"/>
  <c r="G72" i="24"/>
  <c r="H72" i="24" s="1"/>
  <c r="L72" i="24"/>
  <c r="M72" i="24" s="1"/>
  <c r="Q72" i="24"/>
  <c r="R72" i="24" s="1"/>
  <c r="V72" i="24"/>
  <c r="W72" i="24"/>
  <c r="X72" i="24"/>
  <c r="Y72" i="24" s="1"/>
  <c r="G73" i="24"/>
  <c r="H73" i="24" s="1"/>
  <c r="L73" i="24"/>
  <c r="M73" i="24" s="1"/>
  <c r="Q73" i="24"/>
  <c r="R73" i="24" s="1"/>
  <c r="V73" i="24"/>
  <c r="W73" i="24" s="1"/>
  <c r="X73" i="24"/>
  <c r="Y73" i="24" s="1"/>
  <c r="G74" i="24"/>
  <c r="H74" i="24" s="1"/>
  <c r="L74" i="24"/>
  <c r="M74" i="24" s="1"/>
  <c r="Q74" i="24"/>
  <c r="R74" i="24" s="1"/>
  <c r="V74" i="24"/>
  <c r="W74" i="24" s="1"/>
  <c r="X74" i="24"/>
  <c r="Y74" i="24" s="1"/>
  <c r="G75" i="24"/>
  <c r="H75" i="24"/>
  <c r="L75" i="24"/>
  <c r="M75" i="24" s="1"/>
  <c r="Q75" i="24"/>
  <c r="R75" i="24" s="1"/>
  <c r="V75" i="24"/>
  <c r="W75" i="24"/>
  <c r="X75" i="24"/>
  <c r="Y75" i="24" s="1"/>
  <c r="B76" i="24"/>
  <c r="C76" i="24"/>
  <c r="G76" i="24"/>
  <c r="H76" i="24" s="1"/>
  <c r="L76" i="24"/>
  <c r="M76" i="24" s="1"/>
  <c r="Q76" i="24"/>
  <c r="R76" i="24" s="1"/>
  <c r="V76" i="24"/>
  <c r="W76" i="24"/>
  <c r="X76" i="24"/>
  <c r="Y76" i="24" s="1"/>
  <c r="G77" i="24"/>
  <c r="H77" i="24"/>
  <c r="L77" i="24"/>
  <c r="M77" i="24" s="1"/>
  <c r="Q77" i="24"/>
  <c r="R77" i="24" s="1"/>
  <c r="V77" i="24"/>
  <c r="W77" i="24" s="1"/>
  <c r="X77" i="24"/>
  <c r="Y77" i="24"/>
  <c r="G78" i="24"/>
  <c r="H78" i="24" s="1"/>
  <c r="L78" i="24"/>
  <c r="M78" i="24"/>
  <c r="Q78" i="24"/>
  <c r="R78" i="24" s="1"/>
  <c r="V78" i="24"/>
  <c r="W78" i="24" s="1"/>
  <c r="X78" i="24"/>
  <c r="Y78" i="24" s="1"/>
  <c r="B79" i="24"/>
  <c r="C79" i="24"/>
  <c r="D79" i="24"/>
  <c r="E79" i="24"/>
  <c r="F79" i="24"/>
  <c r="F82" i="24" s="1"/>
  <c r="I79" i="24"/>
  <c r="J79" i="24"/>
  <c r="J82" i="24" s="1"/>
  <c r="J91" i="24" s="1"/>
  <c r="K79" i="24"/>
  <c r="K82" i="24" s="1"/>
  <c r="N79" i="24"/>
  <c r="N82" i="24" s="1"/>
  <c r="Q82" i="24" s="1"/>
  <c r="R82" i="24" s="1"/>
  <c r="O79" i="24"/>
  <c r="O82" i="24" s="1"/>
  <c r="P79" i="24"/>
  <c r="P82" i="24" s="1"/>
  <c r="S79" i="24"/>
  <c r="T79" i="24"/>
  <c r="T82" i="24" s="1"/>
  <c r="T91" i="24" s="1"/>
  <c r="U79" i="24"/>
  <c r="U82" i="24" s="1"/>
  <c r="G80" i="24"/>
  <c r="H80" i="24" s="1"/>
  <c r="L80" i="24"/>
  <c r="M80" i="24" s="1"/>
  <c r="Q80" i="24"/>
  <c r="R80" i="24" s="1"/>
  <c r="V80" i="24"/>
  <c r="W80" i="24"/>
  <c r="X80" i="24"/>
  <c r="Y80" i="24" s="1"/>
  <c r="G81" i="24"/>
  <c r="H81" i="24"/>
  <c r="L81" i="24"/>
  <c r="M81" i="24"/>
  <c r="Q81" i="24"/>
  <c r="R81" i="24" s="1"/>
  <c r="V81" i="24"/>
  <c r="W81" i="24" s="1"/>
  <c r="Y81" i="24"/>
  <c r="E82" i="24"/>
  <c r="S82" i="24"/>
  <c r="F84" i="24"/>
  <c r="L84" i="24"/>
  <c r="M84" i="24" s="1"/>
  <c r="O84" i="24"/>
  <c r="P84" i="24"/>
  <c r="V84" i="24"/>
  <c r="W84" i="24" s="1"/>
  <c r="D85" i="24"/>
  <c r="E85" i="24"/>
  <c r="E90" i="24" s="1"/>
  <c r="F85" i="24"/>
  <c r="I85" i="24"/>
  <c r="J85" i="24"/>
  <c r="Q85" i="24"/>
  <c r="R85" i="24" s="1"/>
  <c r="V85" i="24"/>
  <c r="W85" i="24" s="1"/>
  <c r="X85" i="24"/>
  <c r="Y85" i="24" s="1"/>
  <c r="G86" i="24"/>
  <c r="H86" i="24" s="1"/>
  <c r="L86" i="24"/>
  <c r="M86" i="24" s="1"/>
  <c r="P86" i="24"/>
  <c r="X86" i="24" s="1"/>
  <c r="Y86" i="24" s="1"/>
  <c r="V86" i="24"/>
  <c r="W86" i="24" s="1"/>
  <c r="G87" i="24"/>
  <c r="H87" i="24" s="1"/>
  <c r="L87" i="24"/>
  <c r="M87" i="24" s="1"/>
  <c r="Q87" i="24"/>
  <c r="R87" i="24"/>
  <c r="V87" i="24"/>
  <c r="W87" i="24" s="1"/>
  <c r="X87" i="24"/>
  <c r="Y87" i="24" s="1"/>
  <c r="G88" i="24"/>
  <c r="H88" i="24" s="1"/>
  <c r="L88" i="24"/>
  <c r="M88" i="24" s="1"/>
  <c r="Q88" i="24"/>
  <c r="R88" i="24" s="1"/>
  <c r="V88" i="24"/>
  <c r="W88" i="24" s="1"/>
  <c r="Y88" i="24"/>
  <c r="G89" i="24"/>
  <c r="H89" i="24" s="1"/>
  <c r="L89" i="24"/>
  <c r="M89" i="24" s="1"/>
  <c r="Q89" i="24"/>
  <c r="R89" i="24" s="1"/>
  <c r="V89" i="24"/>
  <c r="W89" i="24"/>
  <c r="X89" i="24"/>
  <c r="Y89" i="24" s="1"/>
  <c r="D90" i="24"/>
  <c r="J90" i="24"/>
  <c r="K90" i="24"/>
  <c r="N90" i="24"/>
  <c r="S90" i="24"/>
  <c r="V90" i="24" s="1"/>
  <c r="W90" i="24" s="1"/>
  <c r="T90" i="24"/>
  <c r="U90" i="24"/>
  <c r="U91" i="24" l="1"/>
  <c r="V91" i="24" s="1"/>
  <c r="K91" i="24"/>
  <c r="S91" i="24"/>
  <c r="Q86" i="24"/>
  <c r="R86" i="24" s="1"/>
  <c r="E91" i="24"/>
  <c r="P90" i="24"/>
  <c r="P91" i="24" s="1"/>
  <c r="Q79" i="24"/>
  <c r="R79" i="24" s="1"/>
  <c r="I90" i="24"/>
  <c r="L90" i="24" s="1"/>
  <c r="M90" i="24" s="1"/>
  <c r="L85" i="24"/>
  <c r="M85" i="24" s="1"/>
  <c r="X84" i="24"/>
  <c r="F90" i="24"/>
  <c r="G90" i="24" s="1"/>
  <c r="H90" i="24" s="1"/>
  <c r="G84" i="24"/>
  <c r="H84" i="24" s="1"/>
  <c r="N91" i="24"/>
  <c r="X79" i="24"/>
  <c r="Y79" i="24" s="1"/>
  <c r="Y82" i="24" s="1"/>
  <c r="D82" i="24"/>
  <c r="I82" i="24"/>
  <c r="L79" i="24"/>
  <c r="M79" i="24" s="1"/>
  <c r="V82" i="24"/>
  <c r="W82" i="24" s="1"/>
  <c r="W91" i="24" s="1"/>
  <c r="V79" i="24"/>
  <c r="W79" i="24" s="1"/>
  <c r="G79" i="24"/>
  <c r="H79" i="24" s="1"/>
  <c r="G85" i="24"/>
  <c r="H85" i="24" s="1"/>
  <c r="Q84" i="24"/>
  <c r="R84" i="24" s="1"/>
  <c r="O90" i="24"/>
  <c r="AX4" i="23"/>
  <c r="AX3" i="23"/>
  <c r="AX2" i="23"/>
  <c r="AW15" i="23"/>
  <c r="AV15" i="23"/>
  <c r="AX14" i="23"/>
  <c r="AX13" i="23"/>
  <c r="AX12" i="23"/>
  <c r="AX9" i="23"/>
  <c r="AX8" i="23"/>
  <c r="AX7" i="23"/>
  <c r="AX6" i="23"/>
  <c r="AX5" i="23"/>
  <c r="L8" i="26"/>
  <c r="M8" i="26"/>
  <c r="K8" i="26"/>
  <c r="I8" i="26"/>
  <c r="J8" i="26"/>
  <c r="H8" i="26"/>
  <c r="F8" i="26"/>
  <c r="G8" i="26"/>
  <c r="D8" i="26"/>
  <c r="Q90" i="24" l="1"/>
  <c r="R90" i="24" s="1"/>
  <c r="R91" i="24" s="1"/>
  <c r="F91" i="24"/>
  <c r="O91" i="24"/>
  <c r="Q91" i="24" s="1"/>
  <c r="X90" i="24"/>
  <c r="Y84" i="24"/>
  <c r="Y90" i="24" s="1"/>
  <c r="Y91" i="24" s="1"/>
  <c r="L82" i="24"/>
  <c r="M82" i="24" s="1"/>
  <c r="M91" i="24" s="1"/>
  <c r="I91" i="24"/>
  <c r="L91" i="24" s="1"/>
  <c r="X82" i="24"/>
  <c r="G82" i="24"/>
  <c r="D91" i="24"/>
  <c r="X91" i="24" l="1"/>
  <c r="H82" i="24"/>
  <c r="H91" i="24" s="1"/>
  <c r="G91" i="24"/>
  <c r="B19" i="18"/>
  <c r="D29" i="6" l="1"/>
  <c r="G4" i="10" l="1"/>
  <c r="G5" i="10"/>
  <c r="E52" i="21" l="1"/>
  <c r="C17" i="3" l="1"/>
  <c r="C13" i="3"/>
  <c r="C3" i="3"/>
  <c r="H446" i="4" l="1"/>
  <c r="G20" i="1" l="1"/>
  <c r="N26" i="12" l="1"/>
  <c r="O26" i="12" s="1"/>
  <c r="N25" i="12"/>
  <c r="O25" i="12" s="1"/>
  <c r="N23" i="12"/>
  <c r="O23" i="12" s="1"/>
  <c r="N24" i="12"/>
  <c r="O24" i="12" s="1"/>
  <c r="U61" i="24"/>
  <c r="T61" i="24"/>
  <c r="S61" i="24"/>
  <c r="P61" i="24"/>
  <c r="O61" i="24"/>
  <c r="N61" i="24"/>
  <c r="K61" i="24"/>
  <c r="J61" i="24"/>
  <c r="F61" i="24"/>
  <c r="X60" i="24"/>
  <c r="Y60" i="24" s="1"/>
  <c r="V60" i="24"/>
  <c r="W60" i="24" s="1"/>
  <c r="Q60" i="24"/>
  <c r="R60" i="24" s="1"/>
  <c r="L60" i="24"/>
  <c r="M60" i="24" s="1"/>
  <c r="G60" i="24"/>
  <c r="H60" i="24" s="1"/>
  <c r="Y59" i="24"/>
  <c r="V59" i="24"/>
  <c r="W59" i="24" s="1"/>
  <c r="Q59" i="24"/>
  <c r="R59" i="24" s="1"/>
  <c r="L59" i="24"/>
  <c r="M59" i="24" s="1"/>
  <c r="G59" i="24"/>
  <c r="H59" i="24" s="1"/>
  <c r="X58" i="24"/>
  <c r="Y58" i="24" s="1"/>
  <c r="V58" i="24"/>
  <c r="W58" i="24" s="1"/>
  <c r="Q58" i="24"/>
  <c r="R58" i="24" s="1"/>
  <c r="L58" i="24"/>
  <c r="M58" i="24" s="1"/>
  <c r="G58" i="24"/>
  <c r="H58" i="24" s="1"/>
  <c r="X57" i="24"/>
  <c r="Y57" i="24" s="1"/>
  <c r="V57" i="24"/>
  <c r="W57" i="24" s="1"/>
  <c r="Q57" i="24"/>
  <c r="R57" i="24" s="1"/>
  <c r="L57" i="24"/>
  <c r="M57" i="24" s="1"/>
  <c r="G57" i="24"/>
  <c r="H57" i="24" s="1"/>
  <c r="X56" i="24"/>
  <c r="Y56" i="24" s="1"/>
  <c r="V56" i="24"/>
  <c r="W56" i="24" s="1"/>
  <c r="Q56" i="24"/>
  <c r="R56" i="24" s="1"/>
  <c r="L56" i="24"/>
  <c r="M56" i="24" s="1"/>
  <c r="G56" i="24"/>
  <c r="H56" i="24" s="1"/>
  <c r="V55" i="24"/>
  <c r="W55" i="24" s="1"/>
  <c r="Q55" i="24"/>
  <c r="R55" i="24" s="1"/>
  <c r="L55" i="24"/>
  <c r="M55" i="24" s="1"/>
  <c r="I55" i="24"/>
  <c r="E55" i="24"/>
  <c r="D55" i="24"/>
  <c r="X54" i="24"/>
  <c r="Y54" i="24" s="1"/>
  <c r="V54" i="24"/>
  <c r="W54" i="24" s="1"/>
  <c r="Q54" i="24"/>
  <c r="R54" i="24" s="1"/>
  <c r="L54" i="24"/>
  <c r="M54" i="24" s="1"/>
  <c r="G54" i="24"/>
  <c r="H54" i="24" s="1"/>
  <c r="V53" i="24"/>
  <c r="W53" i="24" s="1"/>
  <c r="Q53" i="24"/>
  <c r="R53" i="24" s="1"/>
  <c r="I53" i="24"/>
  <c r="I61" i="24" s="1"/>
  <c r="E53" i="24"/>
  <c r="D53" i="24"/>
  <c r="Y50" i="24"/>
  <c r="V50" i="24"/>
  <c r="W50" i="24" s="1"/>
  <c r="Q50" i="24"/>
  <c r="R50" i="24" s="1"/>
  <c r="L50" i="24"/>
  <c r="M50" i="24" s="1"/>
  <c r="G50" i="24"/>
  <c r="H50" i="24" s="1"/>
  <c r="X49" i="24"/>
  <c r="Y49" i="24" s="1"/>
  <c r="V49" i="24"/>
  <c r="W49" i="24" s="1"/>
  <c r="Q49" i="24"/>
  <c r="R49" i="24" s="1"/>
  <c r="L49" i="24"/>
  <c r="M49" i="24" s="1"/>
  <c r="G49" i="24"/>
  <c r="H49" i="24" s="1"/>
  <c r="U48" i="24"/>
  <c r="T48" i="24"/>
  <c r="S48" i="24"/>
  <c r="S51" i="24" s="1"/>
  <c r="S62" i="24" s="1"/>
  <c r="P48" i="24"/>
  <c r="O48" i="24"/>
  <c r="N48" i="24"/>
  <c r="K48" i="24"/>
  <c r="J48" i="24"/>
  <c r="I48" i="24"/>
  <c r="F48" i="24"/>
  <c r="E48" i="24"/>
  <c r="D48" i="24"/>
  <c r="C48" i="24"/>
  <c r="B48" i="24"/>
  <c r="X47" i="24"/>
  <c r="Y47" i="24" s="1"/>
  <c r="V47" i="24"/>
  <c r="W47" i="24" s="1"/>
  <c r="Q47" i="24"/>
  <c r="R47" i="24" s="1"/>
  <c r="L47" i="24"/>
  <c r="M47" i="24" s="1"/>
  <c r="G47" i="24"/>
  <c r="H47" i="24" s="1"/>
  <c r="X46" i="24"/>
  <c r="Y46" i="24" s="1"/>
  <c r="V46" i="24"/>
  <c r="W46" i="24" s="1"/>
  <c r="Q46" i="24"/>
  <c r="R46" i="24" s="1"/>
  <c r="L46" i="24"/>
  <c r="M46" i="24" s="1"/>
  <c r="G46" i="24"/>
  <c r="H46" i="24" s="1"/>
  <c r="X45" i="24"/>
  <c r="Y45" i="24" s="1"/>
  <c r="V45" i="24"/>
  <c r="W45" i="24" s="1"/>
  <c r="Q45" i="24"/>
  <c r="R45" i="24" s="1"/>
  <c r="L45" i="24"/>
  <c r="M45" i="24" s="1"/>
  <c r="G45" i="24"/>
  <c r="H45" i="24" s="1"/>
  <c r="C45" i="24"/>
  <c r="B45" i="24"/>
  <c r="X44" i="24"/>
  <c r="Y44" i="24" s="1"/>
  <c r="V44" i="24"/>
  <c r="W44" i="24" s="1"/>
  <c r="Q44" i="24"/>
  <c r="R44" i="24" s="1"/>
  <c r="L44" i="24"/>
  <c r="M44" i="24" s="1"/>
  <c r="G44" i="24"/>
  <c r="H44" i="24" s="1"/>
  <c r="X43" i="24"/>
  <c r="Y43" i="24" s="1"/>
  <c r="V43" i="24"/>
  <c r="W43" i="24" s="1"/>
  <c r="Q43" i="24"/>
  <c r="R43" i="24" s="1"/>
  <c r="L43" i="24"/>
  <c r="M43" i="24" s="1"/>
  <c r="G43" i="24"/>
  <c r="H43" i="24" s="1"/>
  <c r="X42" i="24"/>
  <c r="Y42" i="24" s="1"/>
  <c r="V42" i="24"/>
  <c r="W42" i="24" s="1"/>
  <c r="Q42" i="24"/>
  <c r="R42" i="24" s="1"/>
  <c r="L42" i="24"/>
  <c r="M42" i="24" s="1"/>
  <c r="G42" i="24"/>
  <c r="H42" i="24" s="1"/>
  <c r="X41" i="24"/>
  <c r="Y41" i="24" s="1"/>
  <c r="V41" i="24"/>
  <c r="W41" i="24" s="1"/>
  <c r="Q41" i="24"/>
  <c r="R41" i="24" s="1"/>
  <c r="L41" i="24"/>
  <c r="M41" i="24" s="1"/>
  <c r="G41" i="24"/>
  <c r="H41" i="24" s="1"/>
  <c r="X40" i="24"/>
  <c r="Y40" i="24" s="1"/>
  <c r="V40" i="24"/>
  <c r="W40" i="24" s="1"/>
  <c r="Q40" i="24"/>
  <c r="R40" i="24" s="1"/>
  <c r="L40" i="24"/>
  <c r="M40" i="24" s="1"/>
  <c r="G40" i="24"/>
  <c r="H40" i="24" s="1"/>
  <c r="X39" i="24"/>
  <c r="Y39" i="24" s="1"/>
  <c r="V39" i="24"/>
  <c r="W39" i="24" s="1"/>
  <c r="Q39" i="24"/>
  <c r="R39" i="24" s="1"/>
  <c r="L39" i="24"/>
  <c r="M39" i="24" s="1"/>
  <c r="G39" i="24"/>
  <c r="H39" i="24" s="1"/>
  <c r="X38" i="24"/>
  <c r="Y38" i="24" s="1"/>
  <c r="V38" i="24"/>
  <c r="W38" i="24" s="1"/>
  <c r="Q38" i="24"/>
  <c r="R38" i="24" s="1"/>
  <c r="L38" i="24"/>
  <c r="M38" i="24" s="1"/>
  <c r="G38" i="24"/>
  <c r="H38" i="24" s="1"/>
  <c r="X37" i="24"/>
  <c r="Y37" i="24" s="1"/>
  <c r="V37" i="24"/>
  <c r="W37" i="24" s="1"/>
  <c r="Q37" i="24"/>
  <c r="R37" i="24" s="1"/>
  <c r="L37" i="24"/>
  <c r="M37" i="24" s="1"/>
  <c r="G37" i="24"/>
  <c r="H37" i="24" s="1"/>
  <c r="P51" i="24" l="1"/>
  <c r="P62" i="24" s="1"/>
  <c r="L61" i="24"/>
  <c r="M61" i="24" s="1"/>
  <c r="Q61" i="24"/>
  <c r="R61" i="24" s="1"/>
  <c r="L53" i="24"/>
  <c r="M53" i="24" s="1"/>
  <c r="T51" i="24"/>
  <c r="T62" i="24" s="1"/>
  <c r="I51" i="24"/>
  <c r="I62" i="24" s="1"/>
  <c r="F51" i="24"/>
  <c r="F62" i="24" s="1"/>
  <c r="K51" i="24"/>
  <c r="K62" i="24" s="1"/>
  <c r="D51" i="24"/>
  <c r="D62" i="24" s="1"/>
  <c r="D61" i="24"/>
  <c r="B8" i="26"/>
  <c r="G55" i="24"/>
  <c r="H55" i="24" s="1"/>
  <c r="L48" i="24"/>
  <c r="M48" i="24" s="1"/>
  <c r="U51" i="24"/>
  <c r="U62" i="24" s="1"/>
  <c r="J51" i="24"/>
  <c r="J62" i="24" s="1"/>
  <c r="C8" i="26"/>
  <c r="E61" i="24"/>
  <c r="V61" i="24"/>
  <c r="W61" i="24" s="1"/>
  <c r="O51" i="24"/>
  <c r="O62" i="24" s="1"/>
  <c r="V48" i="24"/>
  <c r="W48" i="24" s="1"/>
  <c r="E51" i="24"/>
  <c r="Q48" i="24"/>
  <c r="R48" i="24" s="1"/>
  <c r="X48" i="24"/>
  <c r="Y48" i="24" s="1"/>
  <c r="Y51" i="24" s="1"/>
  <c r="N51" i="24"/>
  <c r="N62" i="24" s="1"/>
  <c r="E8" i="26"/>
  <c r="X53" i="24"/>
  <c r="Y53" i="24" s="1"/>
  <c r="O8" i="26" s="1"/>
  <c r="G48" i="24"/>
  <c r="H48" i="24" s="1"/>
  <c r="G53" i="24"/>
  <c r="H53" i="24" s="1"/>
  <c r="X55" i="24"/>
  <c r="Y55" i="24" s="1"/>
  <c r="G51" i="24" l="1"/>
  <c r="H51" i="24" s="1"/>
  <c r="V62" i="24"/>
  <c r="G61" i="24"/>
  <c r="H61" i="24" s="1"/>
  <c r="Y61" i="24"/>
  <c r="E62" i="24"/>
  <c r="B28" i="12"/>
  <c r="X51" i="24"/>
  <c r="Q51" i="24"/>
  <c r="R51" i="24" s="1"/>
  <c r="R62" i="24" s="1"/>
  <c r="L51" i="24"/>
  <c r="M51" i="24" s="1"/>
  <c r="M62" i="24" s="1"/>
  <c r="Q62" i="24"/>
  <c r="N8" i="26"/>
  <c r="V51" i="24"/>
  <c r="W51" i="24" s="1"/>
  <c r="W62" i="24" s="1"/>
  <c r="L62" i="24"/>
  <c r="G62" i="24"/>
  <c r="X61" i="24"/>
  <c r="Y62" i="24"/>
  <c r="E225" i="1"/>
  <c r="G224" i="1"/>
  <c r="H224" i="1" s="1"/>
  <c r="H62" i="24" l="1"/>
  <c r="X62" i="24"/>
  <c r="D14" i="8"/>
  <c r="F23" i="11"/>
  <c r="D23" i="8"/>
  <c r="E192" i="4" l="1"/>
  <c r="H192" i="4" s="1"/>
  <c r="E244" i="4" l="1"/>
  <c r="D10" i="27"/>
  <c r="C3" i="5" s="1"/>
  <c r="B26" i="18" l="1"/>
  <c r="E126" i="21" l="1"/>
  <c r="E608" i="4"/>
  <c r="E140" i="4" l="1"/>
  <c r="E42" i="4"/>
  <c r="E34" i="4"/>
  <c r="E35" i="4"/>
  <c r="F667" i="4"/>
  <c r="H46" i="4" l="1"/>
  <c r="H47" i="4" s="1"/>
  <c r="G56" i="10"/>
  <c r="G60" i="10"/>
  <c r="G65" i="10"/>
  <c r="G63" i="10"/>
  <c r="G52" i="10"/>
  <c r="G62" i="10" l="1"/>
  <c r="G55" i="10"/>
  <c r="L13" i="26" l="1"/>
  <c r="M13" i="26"/>
  <c r="K13" i="26"/>
  <c r="H13" i="26"/>
  <c r="F13" i="26"/>
  <c r="G13" i="26"/>
  <c r="E13" i="26"/>
  <c r="C13" i="26"/>
  <c r="B13" i="26"/>
  <c r="D13" i="26"/>
  <c r="J13" i="26" l="1"/>
  <c r="I13" i="26"/>
  <c r="N13" i="26" s="1"/>
  <c r="O13" i="26" l="1"/>
  <c r="AT15" i="23"/>
  <c r="AS15" i="23"/>
  <c r="AU14" i="23"/>
  <c r="AU13" i="23"/>
  <c r="AU12" i="23"/>
  <c r="AU10" i="23"/>
  <c r="AU9" i="23"/>
  <c r="AU8" i="23"/>
  <c r="AU7" i="23"/>
  <c r="AU6" i="23"/>
  <c r="AU5" i="23"/>
  <c r="AU4" i="23"/>
  <c r="AU3" i="23"/>
  <c r="AU2" i="23"/>
  <c r="AR3" i="23" l="1"/>
  <c r="AR2" i="23"/>
  <c r="AR14" i="23"/>
  <c r="AR13" i="23"/>
  <c r="AR12" i="23"/>
  <c r="AR10" i="23"/>
  <c r="AR9" i="23"/>
  <c r="AR8" i="23"/>
  <c r="AR7" i="23"/>
  <c r="AR6" i="23"/>
  <c r="AR5" i="23"/>
  <c r="AR4" i="23"/>
  <c r="F54" i="11" l="1"/>
  <c r="F53" i="11"/>
  <c r="E110" i="21"/>
  <c r="E120" i="21"/>
  <c r="E112" i="21"/>
  <c r="E111" i="21"/>
  <c r="E81" i="21"/>
  <c r="E80" i="21"/>
  <c r="E105" i="21"/>
  <c r="E93" i="21"/>
  <c r="E92" i="21"/>
  <c r="E71" i="21"/>
  <c r="E70" i="21"/>
  <c r="E558" i="4" l="1"/>
  <c r="E503" i="4"/>
  <c r="E449" i="4"/>
  <c r="E400" i="4"/>
  <c r="E347" i="4"/>
  <c r="D25" i="8"/>
  <c r="E298" i="4"/>
  <c r="E91" i="4"/>
  <c r="D24" i="3"/>
  <c r="G14" i="3"/>
  <c r="H121" i="21" l="1"/>
  <c r="G9" i="10" l="1"/>
  <c r="G11" i="10"/>
  <c r="B18" i="12" l="1"/>
  <c r="N12" i="12"/>
  <c r="AN15" i="23"/>
  <c r="AM15" i="23"/>
  <c r="AO14" i="23"/>
  <c r="AO13" i="23"/>
  <c r="AO12" i="23"/>
  <c r="AO11" i="23"/>
  <c r="AO10" i="23"/>
  <c r="AO9" i="23"/>
  <c r="AO8" i="23"/>
  <c r="AO7" i="23"/>
  <c r="AO6" i="23"/>
  <c r="AO5" i="23"/>
  <c r="AO4" i="23"/>
  <c r="AO3" i="23"/>
  <c r="AO2" i="23"/>
  <c r="C103" i="1" l="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E50" i="11" l="1"/>
  <c r="D30" i="8"/>
  <c r="D20" i="8"/>
  <c r="D17" i="8"/>
  <c r="D13" i="8"/>
  <c r="F13" i="8" s="1"/>
  <c r="D12" i="8"/>
  <c r="F12" i="8" s="1"/>
  <c r="D11" i="8"/>
  <c r="E9" i="16" l="1"/>
  <c r="E23" i="16" s="1"/>
  <c r="G3" i="10"/>
  <c r="E123" i="21" l="1"/>
  <c r="E132" i="21"/>
  <c r="E125" i="21"/>
  <c r="E107" i="21"/>
  <c r="E88" i="21"/>
  <c r="E76" i="21"/>
  <c r="E53" i="21"/>
  <c r="E36" i="21"/>
  <c r="E35" i="21"/>
  <c r="E34" i="21"/>
  <c r="E605" i="4"/>
  <c r="E597" i="4"/>
  <c r="E596" i="4"/>
  <c r="E437" i="4"/>
  <c r="E446" i="4"/>
  <c r="E335" i="4"/>
  <c r="E344" i="4"/>
  <c r="E336" i="4"/>
  <c r="F606" i="4" l="1"/>
  <c r="H606" i="4" s="1"/>
  <c r="E287" i="4"/>
  <c r="E88" i="4"/>
  <c r="F27" i="11" l="1"/>
  <c r="F345" i="4"/>
  <c r="E43" i="4" l="1"/>
  <c r="F44" i="4" s="1"/>
  <c r="E659" i="4"/>
  <c r="E651" i="4"/>
  <c r="E650" i="4"/>
  <c r="H44" i="4" l="1"/>
  <c r="F660" i="4"/>
  <c r="H660" i="4" s="1"/>
  <c r="E555" i="4"/>
  <c r="E547" i="4"/>
  <c r="E546" i="4"/>
  <c r="E500" i="4"/>
  <c r="E492" i="4"/>
  <c r="E491" i="4"/>
  <c r="E397" i="4"/>
  <c r="E388" i="4"/>
  <c r="F398" i="4" s="1"/>
  <c r="H398" i="4" s="1"/>
  <c r="F501" i="4" l="1"/>
  <c r="H501" i="4" s="1"/>
  <c r="F556" i="4"/>
  <c r="E241" i="4"/>
  <c r="E233" i="4"/>
  <c r="E232" i="4"/>
  <c r="E189" i="4"/>
  <c r="E180" i="4"/>
  <c r="E137" i="4"/>
  <c r="E128" i="4"/>
  <c r="F661" i="4" l="1"/>
  <c r="F190" i="4"/>
  <c r="H190" i="4" s="1"/>
  <c r="F242" i="4"/>
  <c r="H138" i="4"/>
  <c r="G30" i="10" l="1"/>
  <c r="G29" i="10"/>
  <c r="G6" i="10"/>
  <c r="G8" i="10"/>
  <c r="G31" i="10"/>
  <c r="G32" i="10"/>
  <c r="G33" i="10"/>
  <c r="G27" i="10"/>
  <c r="G26" i="10"/>
  <c r="G36" i="10"/>
  <c r="G64" i="10"/>
  <c r="G28" i="10"/>
  <c r="G57" i="10"/>
  <c r="G7" i="10"/>
  <c r="G12" i="10"/>
  <c r="G16" i="10"/>
  <c r="G14" i="10"/>
  <c r="G23" i="10"/>
  <c r="G45" i="10"/>
  <c r="G46" i="10"/>
  <c r="G47" i="10"/>
  <c r="G48" i="10"/>
  <c r="G20" i="10"/>
  <c r="G19" i="10"/>
  <c r="G15" i="10"/>
  <c r="G13" i="10"/>
  <c r="G22" i="10"/>
  <c r="G21" i="10"/>
  <c r="G25" i="10"/>
  <c r="G37" i="10"/>
  <c r="G38" i="10"/>
  <c r="G39" i="10"/>
  <c r="G40" i="10"/>
  <c r="G41" i="10"/>
  <c r="G42" i="10"/>
  <c r="G43" i="10"/>
  <c r="G18" i="10"/>
  <c r="G17" i="10"/>
  <c r="G49" i="10"/>
  <c r="G50" i="10"/>
  <c r="G51" i="10"/>
  <c r="G35" i="10"/>
  <c r="G24" i="10"/>
  <c r="G44" i="10"/>
  <c r="G53" i="10"/>
  <c r="G54" i="10"/>
  <c r="E4" i="2" l="1"/>
  <c r="F25" i="8"/>
  <c r="F11" i="8"/>
  <c r="F14" i="8"/>
  <c r="C14" i="6"/>
  <c r="C13" i="6"/>
  <c r="C12" i="6"/>
  <c r="C11" i="6"/>
  <c r="C10" i="6"/>
  <c r="C9" i="6"/>
  <c r="C8" i="6"/>
  <c r="C5" i="6"/>
  <c r="C4" i="6"/>
  <c r="F66" i="10"/>
  <c r="F69" i="10" s="1"/>
  <c r="I28" i="12"/>
  <c r="J28" i="12"/>
  <c r="H28" i="12"/>
  <c r="D28" i="12"/>
  <c r="F142" i="21"/>
  <c r="D69" i="10"/>
  <c r="E66" i="10"/>
  <c r="G61" i="10"/>
  <c r="E135" i="21"/>
  <c r="F141" i="21" s="1"/>
  <c r="C220" i="1"/>
  <c r="C219" i="1"/>
  <c r="C218" i="1"/>
  <c r="C216" i="1"/>
  <c r="N7" i="12"/>
  <c r="D29" i="16" s="1"/>
  <c r="BC5" i="23" s="1"/>
  <c r="N9" i="12"/>
  <c r="D31" i="16" s="1"/>
  <c r="N17" i="12"/>
  <c r="N16" i="12"/>
  <c r="D38" i="16" s="1"/>
  <c r="BC14" i="23" s="1"/>
  <c r="AJ15" i="23"/>
  <c r="F133" i="21"/>
  <c r="E5" i="21"/>
  <c r="G37" i="1"/>
  <c r="G54" i="1"/>
  <c r="H54" i="1" s="1"/>
  <c r="G71" i="1"/>
  <c r="G88" i="1"/>
  <c r="G105" i="1"/>
  <c r="H105" i="1" s="1"/>
  <c r="G122" i="1"/>
  <c r="G139" i="1"/>
  <c r="H139" i="1" s="1"/>
  <c r="G156" i="1"/>
  <c r="H156" i="1" s="1"/>
  <c r="G173" i="1"/>
  <c r="G190" i="1"/>
  <c r="G207" i="1"/>
  <c r="E8" i="2"/>
  <c r="C29" i="16" s="1"/>
  <c r="BB5" i="23" s="1"/>
  <c r="E9" i="2"/>
  <c r="E5" i="2"/>
  <c r="E6" i="2"/>
  <c r="C30" i="16" s="1"/>
  <c r="BB6" i="23" s="1"/>
  <c r="E7" i="2"/>
  <c r="C28" i="16" s="1"/>
  <c r="E10" i="2"/>
  <c r="C32" i="16" s="1"/>
  <c r="E11" i="2"/>
  <c r="C33" i="16" s="1"/>
  <c r="E12" i="2"/>
  <c r="C34" i="16" s="1"/>
  <c r="E13" i="2"/>
  <c r="C36" i="16" s="1"/>
  <c r="BB12" i="23" s="1"/>
  <c r="E14" i="2"/>
  <c r="C37" i="16" s="1"/>
  <c r="E15" i="2"/>
  <c r="C38" i="16" s="1"/>
  <c r="E16" i="2"/>
  <c r="C35" i="16" s="1"/>
  <c r="F17" i="8"/>
  <c r="F20" i="8"/>
  <c r="F30" i="8"/>
  <c r="C17" i="2"/>
  <c r="D17" i="2"/>
  <c r="E62" i="21"/>
  <c r="E24" i="21"/>
  <c r="E11" i="21"/>
  <c r="E12" i="21"/>
  <c r="E16" i="21"/>
  <c r="E101" i="21"/>
  <c r="E106" i="21"/>
  <c r="F108" i="21" s="1"/>
  <c r="C16" i="6"/>
  <c r="AK14" i="23"/>
  <c r="AK12" i="23"/>
  <c r="AL12" i="23" s="1"/>
  <c r="AK11" i="23"/>
  <c r="AL11" i="23" s="1"/>
  <c r="AK9" i="23"/>
  <c r="AL9" i="23" s="1"/>
  <c r="AK8" i="23"/>
  <c r="AL8" i="23" s="1"/>
  <c r="AK7" i="23"/>
  <c r="AL7" i="23" s="1"/>
  <c r="AK6" i="23"/>
  <c r="AL6" i="23" s="1"/>
  <c r="AK4" i="23"/>
  <c r="AL4" i="23" s="1"/>
  <c r="AK3" i="23"/>
  <c r="AL3" i="23" s="1"/>
  <c r="E286" i="4"/>
  <c r="E79" i="4"/>
  <c r="B17" i="2"/>
  <c r="H9" i="19" s="1"/>
  <c r="AH14" i="23"/>
  <c r="AI14" i="23" s="1"/>
  <c r="AH13" i="23"/>
  <c r="AI13" i="23" s="1"/>
  <c r="AH12" i="23"/>
  <c r="AI12" i="23" s="1"/>
  <c r="AH11" i="23"/>
  <c r="AI11" i="23" s="1"/>
  <c r="AH9" i="23"/>
  <c r="AI9" i="23" s="1"/>
  <c r="AH8" i="23"/>
  <c r="AI8" i="23" s="1"/>
  <c r="AH7" i="23"/>
  <c r="AI7" i="23" s="1"/>
  <c r="AH6" i="23"/>
  <c r="AI6" i="23" s="1"/>
  <c r="AH4" i="23"/>
  <c r="AI4" i="23" s="1"/>
  <c r="AH3" i="23"/>
  <c r="AI3" i="23" s="1"/>
  <c r="C15" i="6"/>
  <c r="C7" i="6"/>
  <c r="D25" i="6"/>
  <c r="D26" i="6"/>
  <c r="D27" i="6"/>
  <c r="D28" i="6"/>
  <c r="D30" i="6"/>
  <c r="D31" i="6"/>
  <c r="D32" i="6"/>
  <c r="D33" i="6"/>
  <c r="D34" i="6"/>
  <c r="D35" i="6"/>
  <c r="D36" i="6"/>
  <c r="D37" i="6"/>
  <c r="E295" i="4"/>
  <c r="AE4" i="23"/>
  <c r="AF4" i="23" s="1"/>
  <c r="AE6" i="23"/>
  <c r="AF6" i="23" s="1"/>
  <c r="AE7" i="23"/>
  <c r="AF7" i="23" s="1"/>
  <c r="AE8" i="23"/>
  <c r="AF8" i="23" s="1"/>
  <c r="AE9" i="23"/>
  <c r="AF9" i="23" s="1"/>
  <c r="AE11" i="23"/>
  <c r="AF11" i="23" s="1"/>
  <c r="AE12" i="23"/>
  <c r="AF12" i="23" s="1"/>
  <c r="AE14" i="23"/>
  <c r="F3" i="8"/>
  <c r="F4" i="8"/>
  <c r="F5" i="8"/>
  <c r="F7" i="8"/>
  <c r="F8" i="8"/>
  <c r="F9" i="8"/>
  <c r="F15" i="8"/>
  <c r="F16" i="8"/>
  <c r="F18" i="8"/>
  <c r="F21" i="8"/>
  <c r="F22" i="8"/>
  <c r="F24" i="8"/>
  <c r="F26" i="8"/>
  <c r="F27" i="8"/>
  <c r="F28" i="8"/>
  <c r="F29" i="8"/>
  <c r="F31" i="8"/>
  <c r="F32" i="8"/>
  <c r="E33" i="8"/>
  <c r="C39" i="6"/>
  <c r="B39" i="6"/>
  <c r="C24" i="3"/>
  <c r="AE2" i="23"/>
  <c r="AF2" i="23" s="1"/>
  <c r="AF14" i="23"/>
  <c r="AD15" i="23"/>
  <c r="AG15" i="23"/>
  <c r="AL14" i="23"/>
  <c r="I18" i="12"/>
  <c r="J18" i="12"/>
  <c r="J29" i="12" s="1"/>
  <c r="N20" i="12"/>
  <c r="G66" i="10"/>
  <c r="F31" i="11" l="1"/>
  <c r="H142" i="21"/>
  <c r="H143" i="21" s="1"/>
  <c r="H145" i="21" s="1"/>
  <c r="F143" i="21"/>
  <c r="AK10" i="23"/>
  <c r="AL10" i="23" s="1"/>
  <c r="AE13" i="23"/>
  <c r="AF13" i="23" s="1"/>
  <c r="AH2" i="23"/>
  <c r="AI2" i="23" s="1"/>
  <c r="AE10" i="23"/>
  <c r="AF10" i="23" s="1"/>
  <c r="G226" i="1"/>
  <c r="H37" i="1"/>
  <c r="F21" i="11"/>
  <c r="C8" i="16" s="1"/>
  <c r="D8" i="16" s="1"/>
  <c r="F8" i="16" s="1"/>
  <c r="H20" i="1"/>
  <c r="F16" i="11"/>
  <c r="F23" i="8"/>
  <c r="F33" i="8" s="1"/>
  <c r="AH10" i="23"/>
  <c r="AI10" i="23" s="1"/>
  <c r="AE3" i="23"/>
  <c r="AF3" i="23" s="1"/>
  <c r="D39" i="6"/>
  <c r="H15" i="19" s="1"/>
  <c r="I29" i="12"/>
  <c r="F30" i="11"/>
  <c r="C21" i="16" s="1"/>
  <c r="C26" i="16"/>
  <c r="BB2" i="23" s="1"/>
  <c r="H10" i="19"/>
  <c r="H207" i="1"/>
  <c r="H122" i="1"/>
  <c r="H173" i="1"/>
  <c r="H190" i="1"/>
  <c r="H71" i="1"/>
  <c r="H88" i="1"/>
  <c r="H11" i="19"/>
  <c r="H77" i="21"/>
  <c r="F17" i="21"/>
  <c r="C19" i="16"/>
  <c r="F296" i="4"/>
  <c r="H296" i="4" s="1"/>
  <c r="BB8" i="23"/>
  <c r="BB9" i="23"/>
  <c r="B18" i="6"/>
  <c r="C6" i="6"/>
  <c r="C18" i="6" s="1"/>
  <c r="L28" i="12"/>
  <c r="D18" i="12"/>
  <c r="D29" i="12" s="1"/>
  <c r="M18" i="12"/>
  <c r="B29" i="12"/>
  <c r="F28" i="12"/>
  <c r="G28" i="12"/>
  <c r="C18" i="12"/>
  <c r="E18" i="12"/>
  <c r="L18" i="12"/>
  <c r="N14" i="12"/>
  <c r="D36" i="16" s="1"/>
  <c r="BC12" i="23" s="1"/>
  <c r="BD12" i="23" s="1"/>
  <c r="N13" i="12"/>
  <c r="N11" i="12"/>
  <c r="D33" i="16" s="1"/>
  <c r="BC9" i="23" s="1"/>
  <c r="N10" i="12"/>
  <c r="D32" i="16" s="1"/>
  <c r="BC8" i="23" s="1"/>
  <c r="N8" i="12"/>
  <c r="D30" i="16" s="1"/>
  <c r="BC6" i="23" s="1"/>
  <c r="BD6" i="23" s="1"/>
  <c r="N6" i="12"/>
  <c r="D28" i="16" s="1"/>
  <c r="BC4" i="23" s="1"/>
  <c r="F18" i="12"/>
  <c r="N5" i="12"/>
  <c r="D27" i="16" s="1"/>
  <c r="BC3" i="23" s="1"/>
  <c r="N21" i="12"/>
  <c r="O21" i="12" s="1"/>
  <c r="BC7" i="23"/>
  <c r="BD5" i="23"/>
  <c r="E29" i="16"/>
  <c r="E28" i="12"/>
  <c r="K28" i="12"/>
  <c r="N27" i="12"/>
  <c r="O27" i="12" s="1"/>
  <c r="D26" i="16"/>
  <c r="M28" i="12"/>
  <c r="N22" i="12"/>
  <c r="O22" i="12" s="1"/>
  <c r="C28" i="12"/>
  <c r="BB11" i="23"/>
  <c r="AK13" i="23"/>
  <c r="AL13" i="23" s="1"/>
  <c r="AK2" i="23"/>
  <c r="H89" i="4"/>
  <c r="E17" i="2"/>
  <c r="H18" i="12"/>
  <c r="H29" i="12" s="1"/>
  <c r="G8" i="16" l="1"/>
  <c r="F34" i="16" s="1"/>
  <c r="D10" i="16"/>
  <c r="C10" i="16" s="1"/>
  <c r="D41" i="6"/>
  <c r="F33" i="11" s="1"/>
  <c r="G227" i="1"/>
  <c r="AH15" i="23"/>
  <c r="H14" i="19"/>
  <c r="AE15" i="23"/>
  <c r="H17" i="21"/>
  <c r="F26" i="11"/>
  <c r="C20" i="16"/>
  <c r="F24" i="11"/>
  <c r="C15" i="16" s="1"/>
  <c r="C31" i="16"/>
  <c r="BB7" i="23" s="1"/>
  <c r="BD7" i="23" s="1"/>
  <c r="C27" i="16"/>
  <c r="C29" i="12"/>
  <c r="O28" i="12"/>
  <c r="B39" i="18"/>
  <c r="M29" i="12"/>
  <c r="BD8" i="23"/>
  <c r="BB10" i="23"/>
  <c r="BB13" i="23"/>
  <c r="BD9" i="23"/>
  <c r="D35" i="16"/>
  <c r="E29" i="12"/>
  <c r="L29" i="12"/>
  <c r="E33" i="16"/>
  <c r="B11" i="18"/>
  <c r="B12" i="18" s="1"/>
  <c r="E36" i="16"/>
  <c r="B32" i="18"/>
  <c r="B33" i="18" s="1"/>
  <c r="F29" i="12"/>
  <c r="E30" i="16"/>
  <c r="E32" i="16"/>
  <c r="BC2" i="23"/>
  <c r="BD2" i="23" s="1"/>
  <c r="E26" i="16"/>
  <c r="N28" i="12"/>
  <c r="N15" i="12"/>
  <c r="D37" i="16" s="1"/>
  <c r="G18" i="12"/>
  <c r="G29" i="12" s="1"/>
  <c r="AL2" i="23"/>
  <c r="AK15" i="23"/>
  <c r="K18" i="12"/>
  <c r="K29" i="12" s="1"/>
  <c r="G7" i="11" l="1"/>
  <c r="G41" i="11" s="1"/>
  <c r="H34" i="11" s="1"/>
  <c r="I34" i="11" s="1"/>
  <c r="J34" i="11" s="1"/>
  <c r="B44" i="18" s="1"/>
  <c r="B45" i="18" s="1"/>
  <c r="F10" i="16"/>
  <c r="G10" i="16" s="1"/>
  <c r="N18" i="12"/>
  <c r="O29" i="12"/>
  <c r="C18" i="16"/>
  <c r="BC11" i="23"/>
  <c r="BD11" i="23" s="1"/>
  <c r="E35" i="16"/>
  <c r="C17" i="16"/>
  <c r="E31" i="16"/>
  <c r="E38" i="16"/>
  <c r="BB14" i="23"/>
  <c r="BD14" i="23" s="1"/>
  <c r="F44" i="11"/>
  <c r="F65" i="11" s="1"/>
  <c r="N29" i="12"/>
  <c r="D34" i="16"/>
  <c r="BB4" i="23"/>
  <c r="BD4" i="23" s="1"/>
  <c r="E28" i="16"/>
  <c r="F35" i="16"/>
  <c r="H12" i="19"/>
  <c r="H29" i="19"/>
  <c r="BB3" i="23"/>
  <c r="E27" i="16"/>
  <c r="C39" i="16"/>
  <c r="BB16" i="23" s="1"/>
  <c r="BC13" i="23"/>
  <c r="BD13" i="23" s="1"/>
  <c r="E37" i="16"/>
  <c r="G34" i="16" l="1"/>
  <c r="G32" i="16"/>
  <c r="G39" i="16"/>
  <c r="G27" i="16"/>
  <c r="G35" i="16"/>
  <c r="G38" i="16"/>
  <c r="D13" i="16"/>
  <c r="F13" i="16" s="1"/>
  <c r="G13" i="16" s="1"/>
  <c r="I34" i="16" s="1"/>
  <c r="G29" i="16"/>
  <c r="G31" i="16"/>
  <c r="G30" i="16"/>
  <c r="G33" i="16"/>
  <c r="G37" i="16"/>
  <c r="G36" i="16"/>
  <c r="G26" i="16"/>
  <c r="G28" i="16"/>
  <c r="BC10" i="23"/>
  <c r="D39" i="16"/>
  <c r="BC16" i="23" s="1"/>
  <c r="B4" i="18"/>
  <c r="B5" i="18" s="1"/>
  <c r="D29" i="19"/>
  <c r="C5" i="16"/>
  <c r="D4" i="16" s="1"/>
  <c r="F4" i="16" s="1"/>
  <c r="F29" i="16"/>
  <c r="F26" i="16"/>
  <c r="F36" i="16"/>
  <c r="F32" i="16"/>
  <c r="F28" i="16"/>
  <c r="F39" i="16"/>
  <c r="F31" i="16"/>
  <c r="F38" i="16"/>
  <c r="F33" i="16"/>
  <c r="F30" i="16"/>
  <c r="F37" i="16"/>
  <c r="F27" i="16"/>
  <c r="BB15" i="23"/>
  <c r="BD3" i="23"/>
  <c r="G4" i="16" l="1"/>
  <c r="I31" i="16"/>
  <c r="I26" i="16"/>
  <c r="I29" i="16"/>
  <c r="I32" i="16"/>
  <c r="I36" i="16"/>
  <c r="I38" i="16"/>
  <c r="I30" i="16"/>
  <c r="I35" i="16"/>
  <c r="I28" i="16"/>
  <c r="I39" i="16"/>
  <c r="I33" i="16"/>
  <c r="I37" i="16"/>
  <c r="I27" i="16"/>
  <c r="H6" i="11"/>
  <c r="BC15" i="23"/>
  <c r="I6" i="11" l="1"/>
  <c r="H35" i="11"/>
  <c r="I35" i="11" s="1"/>
  <c r="H39" i="11"/>
  <c r="I39" i="11" s="1"/>
  <c r="H36" i="11"/>
  <c r="I36" i="11" s="1"/>
  <c r="J36" i="11" s="1"/>
  <c r="H40" i="11"/>
  <c r="I40" i="11" s="1"/>
  <c r="J40" i="11" s="1"/>
  <c r="B9" i="18" s="1"/>
  <c r="H37" i="11"/>
  <c r="I37" i="11" s="1"/>
  <c r="J37" i="11" s="1"/>
  <c r="H38" i="11"/>
  <c r="I38" i="11" s="1"/>
  <c r="J38" i="11" s="1"/>
  <c r="B37" i="18" s="1"/>
  <c r="B38" i="18" s="1"/>
  <c r="J7" i="11" l="1"/>
  <c r="I41" i="11"/>
  <c r="H41" i="11"/>
  <c r="J35" i="11"/>
  <c r="B10" i="18"/>
  <c r="B13" i="18" s="1"/>
  <c r="B41" i="18"/>
  <c r="D3" i="5"/>
  <c r="E3" i="5" s="1"/>
  <c r="J39" i="11"/>
  <c r="B30" i="18" s="1"/>
  <c r="E39" i="16"/>
  <c r="B16" i="18"/>
  <c r="C12" i="16"/>
  <c r="D11" i="16" s="1"/>
  <c r="F11" i="16" s="1"/>
  <c r="F23" i="16" s="1"/>
  <c r="J41" i="11" l="1"/>
  <c r="F67" i="11" s="1"/>
  <c r="B23" i="18"/>
  <c r="B24" i="18" s="1"/>
  <c r="B27" i="18" s="1"/>
  <c r="B31" i="18"/>
  <c r="B34" i="18" s="1"/>
  <c r="B17" i="18"/>
  <c r="B20" i="18" s="1"/>
  <c r="D23" i="16"/>
  <c r="E4" i="5" l="1"/>
  <c r="H13" i="19"/>
  <c r="H16" i="19" s="1"/>
  <c r="G11" i="16"/>
  <c r="B2" i="18"/>
  <c r="B3" i="18" s="1"/>
  <c r="H35" i="16" l="1"/>
  <c r="J35" i="16" s="1"/>
  <c r="H34" i="16"/>
  <c r="J34" i="16" s="1"/>
  <c r="H27" i="16"/>
  <c r="J27" i="16" s="1"/>
  <c r="H31" i="16"/>
  <c r="J31" i="16" s="1"/>
  <c r="H37" i="16"/>
  <c r="J37" i="16" s="1"/>
  <c r="H30" i="16"/>
  <c r="J30" i="16" s="1"/>
  <c r="H28" i="16"/>
  <c r="J28" i="16" s="1"/>
  <c r="H39" i="16"/>
  <c r="J39" i="16" s="1"/>
  <c r="H36" i="16"/>
  <c r="J36" i="16" s="1"/>
  <c r="H26" i="16"/>
  <c r="J26" i="16" s="1"/>
  <c r="H32" i="16"/>
  <c r="J32" i="16" s="1"/>
  <c r="H38" i="16"/>
  <c r="J38" i="16" s="1"/>
  <c r="H29" i="16"/>
  <c r="J29" i="16" s="1"/>
  <c r="H33" i="16"/>
  <c r="J33" i="16" s="1"/>
  <c r="G23" i="16"/>
  <c r="BD15" i="23" l="1"/>
  <c r="B6" i="18"/>
  <c r="F32" i="19"/>
  <c r="F31" i="19"/>
</calcChain>
</file>

<file path=xl/sharedStrings.xml><?xml version="1.0" encoding="utf-8"?>
<sst xmlns="http://schemas.openxmlformats.org/spreadsheetml/2006/main" count="3235" uniqueCount="905">
  <si>
    <t xml:space="preserve"> </t>
  </si>
  <si>
    <t>Institution</t>
  </si>
  <si>
    <t>Benefit</t>
  </si>
  <si>
    <t>%Employer Contribution</t>
  </si>
  <si>
    <t>Annual Cost</t>
  </si>
  <si>
    <t>Sub-Total</t>
  </si>
  <si>
    <t>Grand Total</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</si>
  <si>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</si>
  <si>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</si>
  <si>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</si>
  <si>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</si>
  <si>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</si>
  <si>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</si>
  <si>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</si>
  <si>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</si>
  <si>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</si>
  <si>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</si>
  <si>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</si>
  <si>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</si>
  <si>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</si>
  <si>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</si>
  <si>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</si>
  <si>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</si>
  <si>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</si>
  <si>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</si>
  <si>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</si>
  <si>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</si>
  <si>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</si>
  <si>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</si>
  <si>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</si>
  <si>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</si>
  <si>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</si>
  <si>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</si>
  <si>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</si>
  <si>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</si>
  <si>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</si>
  <si>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</si>
  <si>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</si>
  <si>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</si>
  <si>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</si>
  <si>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</si>
  <si>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</si>
  <si>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</si>
  <si>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</si>
  <si>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</si>
  <si>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</si>
  <si>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</si>
  <si>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</si>
  <si>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</si>
  <si>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</si>
  <si>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</si>
  <si>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</si>
  <si>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</si>
  <si>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</si>
  <si>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</si>
  <si>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</si>
  <si>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</si>
  <si>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</si>
  <si>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</si>
  <si>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</si>
  <si>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</si>
  <si>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</si>
  <si>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</si>
  <si>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</si>
  <si>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Parole Board</t>
  </si>
  <si>
    <t>Correctional Academy</t>
  </si>
  <si>
    <t>Division/Institution</t>
  </si>
  <si>
    <t>Total Reimbursement</t>
  </si>
  <si>
    <t>Outstanding Balance of RSA</t>
  </si>
  <si>
    <t>Facility-Capital Improvement</t>
  </si>
  <si>
    <t>Institution Director's Office</t>
  </si>
  <si>
    <t>Anvil Mtn. CC</t>
  </si>
  <si>
    <t>Yukon Kuskokwim CC</t>
  </si>
  <si>
    <t>Out-of-State Contractual</t>
  </si>
  <si>
    <t>Daily Cost per Prisoner</t>
  </si>
  <si>
    <t xml:space="preserve">  </t>
  </si>
  <si>
    <t>Daily Cost Per Prisoner</t>
  </si>
  <si>
    <t>UUU</t>
  </si>
  <si>
    <t>Training Academy</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</si>
  <si>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</si>
  <si>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</si>
  <si>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</si>
  <si>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</si>
  <si>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</si>
  <si>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</si>
  <si>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</si>
  <si>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</si>
  <si>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</si>
  <si>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</si>
  <si>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</si>
  <si>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Barrow Probation</t>
  </si>
  <si>
    <t>Kotzebue Probation</t>
  </si>
  <si>
    <t>INSTITUTIONS</t>
  </si>
  <si>
    <t>Equipment &amp; Bldg. Depreciation</t>
  </si>
  <si>
    <t>Mandays</t>
  </si>
  <si>
    <t>Inst. Cost</t>
  </si>
  <si>
    <t>Div.of Admin.&amp; Support Cost</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</si>
  <si>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</si>
  <si>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</si>
  <si>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</si>
  <si>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</si>
  <si>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</si>
  <si>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</si>
  <si>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</si>
  <si>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</si>
  <si>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</si>
  <si>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</si>
  <si>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</si>
  <si>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Allowable Indirect Cost</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</si>
  <si>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</si>
  <si>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</si>
  <si>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</si>
  <si>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</si>
  <si>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</si>
  <si>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</si>
  <si>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</si>
  <si>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</si>
  <si>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</si>
  <si>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</si>
  <si>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 OF TOTAL</t>
  </si>
  <si>
    <t>TOTAL ALL COSTS</t>
  </si>
  <si>
    <t>Anvil Mountain CC</t>
  </si>
  <si>
    <t>Mat-Su CC</t>
  </si>
  <si>
    <t>Yukon-Kuskokwim CC</t>
  </si>
  <si>
    <t>Tents</t>
  </si>
  <si>
    <t>CRC's</t>
  </si>
  <si>
    <t>CRC Offender Supervision</t>
  </si>
  <si>
    <t>Electronic Monitoring</t>
  </si>
  <si>
    <t>Treatment Beds</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</si>
  <si>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</si>
  <si>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</si>
  <si>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</si>
  <si>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</si>
  <si>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</si>
  <si>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</si>
  <si>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</si>
  <si>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</si>
  <si>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</si>
  <si>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</si>
  <si>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</si>
  <si>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</si>
  <si>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</si>
  <si>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</si>
  <si>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</si>
  <si>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</si>
  <si>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</si>
  <si>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</si>
  <si>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</si>
  <si>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</si>
  <si>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</si>
  <si>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</si>
  <si>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</si>
  <si>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</si>
  <si>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</si>
  <si>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</si>
  <si>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</si>
  <si>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</si>
  <si>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</si>
  <si>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</si>
  <si>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</si>
  <si>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</si>
  <si>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</si>
  <si>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</si>
  <si>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</si>
  <si>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</si>
  <si>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</si>
  <si>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</si>
  <si>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</si>
  <si>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</si>
  <si>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</si>
  <si>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</si>
  <si>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</si>
  <si>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</si>
  <si>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</si>
  <si>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</si>
  <si>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</si>
  <si>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</si>
  <si>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</si>
  <si>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</si>
  <si>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</si>
  <si>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</si>
  <si>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</si>
  <si>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</si>
  <si>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</si>
  <si>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</si>
  <si>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</si>
  <si>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</si>
  <si>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</si>
  <si>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</si>
  <si>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</si>
  <si>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</si>
  <si>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</si>
  <si>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</si>
  <si>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</si>
  <si>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</si>
  <si>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</si>
  <si>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</si>
  <si>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</si>
  <si>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</si>
  <si>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</si>
  <si>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</si>
  <si>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</si>
  <si>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</si>
  <si>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</si>
  <si>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INDIVIDUAL INSTITUTION RATES</t>
  </si>
  <si>
    <t>Injury Leave Contribution</t>
  </si>
  <si>
    <t>Combined Hiland Mtn CC</t>
  </si>
  <si>
    <t>SEASIDE CRC-NOME</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</si>
  <si>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</si>
  <si>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</si>
  <si>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</si>
  <si>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</si>
  <si>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</si>
  <si>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</si>
  <si>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</si>
  <si>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</si>
  <si>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E.  Other Direct Operating costs (Schedule D1 and D2)</t>
  </si>
  <si>
    <t xml:space="preserve">COST ALLOCATION </t>
  </si>
  <si>
    <t>TOTAL COSTS</t>
  </si>
  <si>
    <t>COMMUNITY RESIDENTIAL CENTERS</t>
  </si>
  <si>
    <t>Budgeted Revenue Interagency Receipts (I/A)</t>
  </si>
  <si>
    <t>% for Institution Operations</t>
  </si>
  <si>
    <t>Less: DHSS RSA Youth Meals</t>
  </si>
  <si>
    <t>STATEWIDE DIRECT COSTS</t>
  </si>
  <si>
    <t>Statewide Direct Cost</t>
  </si>
  <si>
    <t>PERSONAL SERVICES BENEFITS BY INDIVIDUAL INSTITUTIONS</t>
  </si>
  <si>
    <t>.</t>
  </si>
  <si>
    <t>Daily Cost per Probationer/Parolee</t>
  </si>
  <si>
    <t>AVERAGE QTRLY</t>
  </si>
  <si>
    <t>FY04</t>
  </si>
  <si>
    <t>FY03</t>
  </si>
  <si>
    <r>
      <t>Combined</t>
    </r>
    <r>
      <rPr>
        <sz val="11"/>
        <rFont val="Arial"/>
        <family val="2"/>
      </rPr>
      <t xml:space="preserve"> Hiland Mtn CC</t>
    </r>
  </si>
  <si>
    <r>
      <t>Combined</t>
    </r>
    <r>
      <rPr>
        <sz val="11"/>
        <rFont val="Arial"/>
        <family val="2"/>
      </rPr>
      <t xml:space="preserve"> Palmer CC</t>
    </r>
  </si>
  <si>
    <t>Total Quarterly Mandays</t>
  </si>
  <si>
    <t>FY05</t>
  </si>
  <si>
    <t>Community Residential Centers</t>
  </si>
  <si>
    <t>ANNUAL AVERAGE  POPULATION</t>
  </si>
  <si>
    <t>FY2004 ANNUAL TOTAL MANDAYS</t>
  </si>
  <si>
    <t>FY06</t>
  </si>
  <si>
    <t>FY07</t>
  </si>
  <si>
    <t>FY08</t>
  </si>
  <si>
    <t>FY09</t>
  </si>
  <si>
    <t>* * * * * * * * * * * *</t>
  </si>
  <si>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</si>
  <si>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</si>
  <si>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</si>
  <si>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</si>
  <si>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</si>
  <si>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</si>
  <si>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</si>
  <si>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</si>
  <si>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</si>
  <si>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</si>
  <si>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</si>
  <si>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</si>
  <si>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</si>
  <si>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</si>
  <si>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</si>
  <si>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</si>
  <si>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</si>
  <si>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</si>
  <si>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</si>
  <si>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</si>
  <si>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</si>
  <si>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</si>
  <si>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PT. MACKENZIE CF</t>
  </si>
  <si>
    <t>FY10</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</si>
  <si>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</si>
  <si>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</si>
  <si>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</si>
  <si>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</si>
  <si>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</si>
  <si>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</si>
  <si>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</si>
  <si>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</si>
  <si>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</si>
  <si>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</si>
  <si>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</si>
  <si>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</si>
  <si>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</si>
  <si>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</si>
  <si>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</si>
  <si>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$8.00/mo</t>
  </si>
  <si>
    <t>(907) 465-3315</t>
  </si>
  <si>
    <t>(907) 465-3460</t>
  </si>
  <si>
    <t>FY11</t>
  </si>
  <si>
    <t>Colorado</t>
  </si>
  <si>
    <t>2002 COC</t>
  </si>
  <si>
    <t>2003 COC</t>
  </si>
  <si>
    <t>2004 COC</t>
  </si>
  <si>
    <t>2005 COC</t>
  </si>
  <si>
    <t>2006 COC</t>
  </si>
  <si>
    <t>2007 COC</t>
  </si>
  <si>
    <t>2008 COC</t>
  </si>
  <si>
    <t>2009 COC</t>
  </si>
  <si>
    <t>2010 COC</t>
  </si>
  <si>
    <t>2011 COC</t>
  </si>
  <si>
    <t>2012 COC</t>
  </si>
  <si>
    <t>ANVIL MTN CC</t>
  </si>
  <si>
    <t>FAIRBANKS CC</t>
  </si>
  <si>
    <t>HILAND MTN CC</t>
  </si>
  <si>
    <t>KETCHIKAN CC</t>
  </si>
  <si>
    <t>LEMON CREEK CC</t>
  </si>
  <si>
    <t>MATSU PRETRIAL</t>
  </si>
  <si>
    <t>SPRING CREEK CC</t>
  </si>
  <si>
    <t>WILDWOOD CC</t>
  </si>
  <si>
    <t>WILDWOOD PRETRIAL</t>
  </si>
  <si>
    <t>YUKON-KUSKOKWIM CC</t>
  </si>
  <si>
    <t>AKEELA HOUSE</t>
  </si>
  <si>
    <t>CORDOVA CTR</t>
  </si>
  <si>
    <t>GLACIER MANOR</t>
  </si>
  <si>
    <t>MIDTOWN CTR - ANCH</t>
  </si>
  <si>
    <t>NORTH STAR CTR</t>
  </si>
  <si>
    <t>PARKVIEW</t>
  </si>
  <si>
    <t>TUNDRA CTR</t>
  </si>
  <si>
    <t>ANCHORAGE EM</t>
  </si>
  <si>
    <t>FAIRBANKS EM</t>
  </si>
  <si>
    <t>JUNEAU EM</t>
  </si>
  <si>
    <t>KENAI EM</t>
  </si>
  <si>
    <t>KETCHIKAN EM</t>
  </si>
  <si>
    <t>PALMER EM</t>
  </si>
  <si>
    <t>FEDERAL BUREAU PRISONS</t>
  </si>
  <si>
    <t>COLORADO STATE PRISON</t>
  </si>
  <si>
    <t>WASHINGTON STATE</t>
  </si>
  <si>
    <t>Facility Cap Imp Unit</t>
  </si>
  <si>
    <t>Commissioner's Office Jnu/Anch</t>
  </si>
  <si>
    <t>8/9</t>
  </si>
  <si>
    <t>21B</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</si>
  <si>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</si>
  <si>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</si>
  <si>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</si>
  <si>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</si>
  <si>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</si>
  <si>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</si>
  <si>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</si>
  <si>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</si>
  <si>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</si>
  <si>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</si>
  <si>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</si>
  <si>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</si>
  <si>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</si>
  <si>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</si>
  <si>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</si>
  <si>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</si>
  <si>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</si>
  <si>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</si>
  <si>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</si>
  <si>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</si>
  <si>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</si>
  <si>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</si>
  <si>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</si>
  <si>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</si>
  <si>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</si>
  <si>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</si>
  <si>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</si>
  <si>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</si>
  <si>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</si>
  <si>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</si>
  <si>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</si>
  <si>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</si>
  <si>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</si>
  <si>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</si>
  <si>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</si>
  <si>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</si>
  <si>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</si>
  <si>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</si>
  <si>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</si>
  <si>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</si>
  <si>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</si>
  <si>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</si>
  <si>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Overall Percentage Difference </t>
  </si>
  <si>
    <t xml:space="preserve">FY12 </t>
  </si>
  <si>
    <r>
      <t>Combined</t>
    </r>
    <r>
      <rPr>
        <sz val="11"/>
        <rFont val="Arial"/>
        <family val="2"/>
      </rPr>
      <t xml:space="preserve"> Wildwood CC*</t>
    </r>
  </si>
  <si>
    <t>n/a</t>
  </si>
  <si>
    <t>Goose Creek CC</t>
  </si>
  <si>
    <t>Leave- Holiday</t>
  </si>
  <si>
    <t>:Difference</t>
  </si>
  <si>
    <t>Commodities / Supplies</t>
  </si>
  <si>
    <t>Other Services</t>
  </si>
  <si>
    <t xml:space="preserve">Prison System Expansion </t>
  </si>
  <si>
    <t>Probation &amp; Parole</t>
  </si>
  <si>
    <t>FY13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</si>
  <si>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</si>
  <si>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</si>
  <si>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</si>
  <si>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</si>
  <si>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</si>
  <si>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</si>
  <si>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</si>
  <si>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</si>
  <si>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</si>
  <si>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</si>
  <si>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</si>
  <si>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</si>
  <si>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</si>
  <si>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</si>
  <si>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</si>
  <si>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</si>
  <si>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Comb Hiland Mtn. CC</t>
  </si>
  <si>
    <t>Offender Habilitation</t>
  </si>
  <si>
    <t>Administrative Services</t>
  </si>
  <si>
    <t>GOOSE CREEK CC</t>
  </si>
  <si>
    <t>BEDS</t>
  </si>
  <si>
    <t>Bristol Bay</t>
  </si>
  <si>
    <t>Cordova</t>
  </si>
  <si>
    <t>Craig</t>
  </si>
  <si>
    <t>Dillingham</t>
  </si>
  <si>
    <t>Haines</t>
  </si>
  <si>
    <t>Homer</t>
  </si>
  <si>
    <t>Kodiak</t>
  </si>
  <si>
    <t>Kotzebue</t>
  </si>
  <si>
    <t>NSB</t>
  </si>
  <si>
    <t>Petersburg</t>
  </si>
  <si>
    <t>Seward</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</si>
  <si>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</si>
  <si>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</si>
  <si>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</si>
  <si>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</si>
  <si>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</si>
  <si>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</si>
  <si>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</si>
  <si>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</si>
  <si>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</si>
  <si>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</si>
  <si>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</si>
  <si>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</si>
  <si>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</si>
  <si>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</si>
  <si>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</si>
  <si>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</si>
  <si>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CAP DAYS</t>
  </si>
  <si>
    <t xml:space="preserve">March </t>
  </si>
  <si>
    <t>April</t>
  </si>
  <si>
    <t xml:space="preserve">May </t>
  </si>
  <si>
    <t>Man-days</t>
  </si>
  <si>
    <t>FY14</t>
  </si>
  <si>
    <t>Laundry - Lemon Creek</t>
  </si>
  <si>
    <t xml:space="preserve">Total Equipment Cost &amp; Building      Depreciation </t>
  </si>
  <si>
    <t>21C</t>
  </si>
  <si>
    <t>Programs</t>
  </si>
  <si>
    <t>2015 COC</t>
  </si>
  <si>
    <t>Total Actual Operating Cost for Prior Fiscal Year</t>
  </si>
  <si>
    <t>Daily Cost Per Community Residential Center Inmate</t>
  </si>
  <si>
    <t>N/A</t>
  </si>
  <si>
    <t>ANCHORAGE CC EAST</t>
  </si>
  <si>
    <t>ANCHORAGE CC WEST</t>
  </si>
  <si>
    <t>AVG Daily</t>
  </si>
  <si>
    <t>(Sched-A)</t>
  </si>
  <si>
    <t>KODIAK EM</t>
  </si>
  <si>
    <t>Average</t>
  </si>
  <si>
    <t>Research &amp; Records</t>
  </si>
  <si>
    <t>FY15</t>
  </si>
  <si>
    <t>FY16</t>
  </si>
  <si>
    <t xml:space="preserve">Total Out-of-State Contractual Costs </t>
  </si>
  <si>
    <t>Budgeted DPS Transport RSA</t>
  </si>
  <si>
    <t>Max</t>
  </si>
  <si>
    <t>Gen Capacity</t>
  </si>
  <si>
    <t>Capactiy</t>
  </si>
  <si>
    <t>IRIS
Unit</t>
  </si>
  <si>
    <t>Procurement</t>
  </si>
  <si>
    <t>Probation Region ONE</t>
  </si>
  <si>
    <t>Probation Region TWO</t>
  </si>
  <si>
    <t>Physical Health Care</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</si>
  <si>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</si>
  <si>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</si>
  <si>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</si>
  <si>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</si>
  <si>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</si>
  <si>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</si>
  <si>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</si>
  <si>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</si>
  <si>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</si>
  <si>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</si>
  <si>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</si>
  <si>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</si>
  <si>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</si>
  <si>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</si>
  <si>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</si>
  <si>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</si>
  <si>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</si>
  <si>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</si>
  <si>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</si>
  <si>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</si>
  <si>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</si>
  <si>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</si>
  <si>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</si>
  <si>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</si>
  <si>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</si>
  <si>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</si>
  <si>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</si>
  <si>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</si>
  <si>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</si>
  <si>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</si>
  <si>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</si>
  <si>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</si>
  <si>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</si>
  <si>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</si>
  <si>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</si>
  <si>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</si>
  <si>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</si>
  <si>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</si>
  <si>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</si>
  <si>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</si>
  <si>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</si>
  <si>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</si>
  <si>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</si>
  <si>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</si>
  <si>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</si>
  <si>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</si>
  <si>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</si>
  <si>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</si>
  <si>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</si>
  <si>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</si>
  <si>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</si>
  <si>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</si>
  <si>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</si>
  <si>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</si>
  <si>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</si>
  <si>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</si>
  <si>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</si>
  <si>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</si>
  <si>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</si>
  <si>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</si>
  <si>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</si>
  <si>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</si>
  <si>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</si>
  <si>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</si>
  <si>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</si>
  <si>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</si>
  <si>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</si>
  <si>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</si>
  <si>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</si>
  <si>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</si>
  <si>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</si>
  <si>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</si>
  <si>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</si>
  <si>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</si>
  <si>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</si>
  <si>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</si>
  <si>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</si>
  <si>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</si>
  <si>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</si>
  <si>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</si>
  <si>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</si>
  <si>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</si>
  <si>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</si>
  <si>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Spring Creek Correctional</t>
  </si>
  <si>
    <t>Wildwood Correctional</t>
  </si>
  <si>
    <t>Interest Expense</t>
  </si>
  <si>
    <t>Safety Services</t>
  </si>
  <si>
    <t>Insurance/Bonds</t>
  </si>
  <si>
    <t>Other Wireless Charges</t>
  </si>
  <si>
    <t>Case Costs</t>
  </si>
  <si>
    <t>Pt. MacKenzie Correctional</t>
  </si>
  <si>
    <t>Heating Oil</t>
  </si>
  <si>
    <t>Lemon Creek Correctional</t>
  </si>
  <si>
    <t>Less: DOT RSA Laundry Services</t>
  </si>
  <si>
    <t>Settlement Legal Fees</t>
  </si>
  <si>
    <t>Palmer Correctional</t>
  </si>
  <si>
    <t>24-HRS Utilities</t>
  </si>
  <si>
    <t>Services</t>
  </si>
  <si>
    <t>Health &amp; Rehabilitation</t>
  </si>
  <si>
    <t>Less: Alcohol Tax RSA (SCCC Men's Sub-Acute &amp; Juvenile Offender Pgm)</t>
  </si>
  <si>
    <t>Scientific and Medical</t>
  </si>
  <si>
    <t>Grants</t>
  </si>
  <si>
    <t xml:space="preserve">Recidivism Reduction </t>
  </si>
  <si>
    <t>Expansion</t>
  </si>
  <si>
    <t xml:space="preserve">Prison System </t>
  </si>
  <si>
    <t>ck</t>
  </si>
  <si>
    <t>:</t>
  </si>
  <si>
    <t>:Sub Total</t>
  </si>
  <si>
    <t>Batterer's RSA</t>
  </si>
  <si>
    <t>Appr Type</t>
  </si>
  <si>
    <t>JCOM</t>
  </si>
  <si>
    <t>JADS</t>
  </si>
  <si>
    <t>JINT</t>
  </si>
  <si>
    <t>JRRE</t>
  </si>
  <si>
    <t>JREN</t>
  </si>
  <si>
    <t>JCOA</t>
  </si>
  <si>
    <t>JPAB</t>
  </si>
  <si>
    <t>Health &amp; Rehabilitation Services</t>
  </si>
  <si>
    <t>JHRS</t>
  </si>
  <si>
    <t>Appr Group</t>
  </si>
  <si>
    <t>ApprType</t>
  </si>
  <si>
    <t>JBHC</t>
  </si>
  <si>
    <t>JSAP</t>
  </si>
  <si>
    <t>Offender Habilitation Programs</t>
  </si>
  <si>
    <t>JOHP</t>
  </si>
  <si>
    <t>JEDP</t>
  </si>
  <si>
    <t>JPOP</t>
  </si>
  <si>
    <t>JTRN</t>
  </si>
  <si>
    <t>JAMC</t>
  </si>
  <si>
    <t>JGCC</t>
  </si>
  <si>
    <t>JLCC</t>
  </si>
  <si>
    <t>JYKC</t>
  </si>
  <si>
    <t>JPCC</t>
  </si>
  <si>
    <t>JCIM</t>
  </si>
  <si>
    <t>JIDO</t>
  </si>
  <si>
    <t>JPSE</t>
  </si>
  <si>
    <t>JCLF</t>
  </si>
  <si>
    <t>Decreased by RSA</t>
  </si>
  <si>
    <t>JPOA</t>
  </si>
  <si>
    <t>JRRG</t>
  </si>
  <si>
    <t>JCOJ</t>
  </si>
  <si>
    <t>JPPD</t>
  </si>
  <si>
    <t>JSPP</t>
  </si>
  <si>
    <t>JOOS</t>
  </si>
  <si>
    <t>JELM</t>
  </si>
  <si>
    <t>JCRC</t>
  </si>
  <si>
    <t>JFAC</t>
  </si>
  <si>
    <t>Budg /Un-budg - Offender Programs (3) RSAs</t>
  </si>
  <si>
    <t>JOFH</t>
  </si>
  <si>
    <t>Administration &amp; Support*</t>
  </si>
  <si>
    <t>JADS / JCOA
JCOM / JINT
JPAB / JREN
JRRE</t>
  </si>
  <si>
    <t>Note*: Includes SF Rent, Correctional Academy, and Parole Board Expenditues</t>
  </si>
  <si>
    <t>HEALTH &amp; REHABILITATION SERVICES</t>
  </si>
  <si>
    <t>OFFENDER HABILITATION PROGRAMS</t>
  </si>
  <si>
    <t xml:space="preserve">Fairbanks Correctional  </t>
  </si>
  <si>
    <t>Ketchikan Correctional</t>
  </si>
  <si>
    <t>Mat-Su Correctional</t>
  </si>
  <si>
    <t xml:space="preserve">Palmer Correctional </t>
  </si>
  <si>
    <t xml:space="preserve">Yukon Kuskokwim Correctional </t>
  </si>
  <si>
    <t>Decreased by 3 RSAs (ABE/CARL P/MOS)</t>
  </si>
  <si>
    <r>
      <rPr>
        <b/>
        <i/>
        <sz val="10"/>
        <rFont val="Calibri"/>
        <family val="2"/>
      </rPr>
      <t>Add</t>
    </r>
    <r>
      <rPr>
        <b/>
        <sz val="10"/>
        <rFont val="Calibri"/>
        <family val="2"/>
      </rPr>
      <t xml:space="preserve">: </t>
    </r>
    <r>
      <rPr>
        <sz val="10"/>
        <rFont val="Calibri"/>
        <family val="2"/>
      </rPr>
      <t>Depreciation Calculation</t>
    </r>
  </si>
  <si>
    <t>Unbudgeted Step C / Step H RSAs</t>
  </si>
  <si>
    <t>JVEP</t>
  </si>
  <si>
    <t>Equipment &amp; Building Depreciation</t>
  </si>
  <si>
    <t>Health &amp; Rehab Svcs: SCCC Men's RSA</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</si>
  <si>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</si>
  <si>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</si>
  <si>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</si>
  <si>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</si>
  <si>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</si>
  <si>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</si>
  <si>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</si>
  <si>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</si>
  <si>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</si>
  <si>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</si>
  <si>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</si>
  <si>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</si>
  <si>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Administration &amp; Support RDU</t>
  </si>
  <si>
    <t>Recidivism Reduction Grant</t>
  </si>
  <si>
    <t>Inmate Transportation Unit</t>
  </si>
  <si>
    <t>Reconciliation to Actuals</t>
  </si>
  <si>
    <t>DOC Total Cost: ( By Appr Type Alder Report )</t>
  </si>
  <si>
    <t>Less: 3 Education RSAs</t>
  </si>
  <si>
    <t>Less: DPS PREA RSA</t>
  </si>
  <si>
    <t>Less: DPS Transportation RSA</t>
  </si>
  <si>
    <t>Female</t>
  </si>
  <si>
    <t>Population</t>
  </si>
  <si>
    <t>INSTITUTION TOTAL</t>
  </si>
  <si>
    <t>Director, Administrative Services</t>
  </si>
  <si>
    <t>Director, Admin. Services</t>
  </si>
  <si>
    <t>Division</t>
  </si>
  <si>
    <t>Human Resources</t>
  </si>
  <si>
    <t>Pre-Trial Services</t>
  </si>
  <si>
    <t>Sex Offender Managemnet Pr</t>
  </si>
  <si>
    <t>LOCATION</t>
  </si>
  <si>
    <t>CRC TOTAL</t>
  </si>
  <si>
    <t>EM TOTAL</t>
  </si>
  <si>
    <t>Budgeted</t>
  </si>
  <si>
    <t>Less: RSA Meals Youth Fac</t>
  </si>
  <si>
    <t>Travel / Moving Costs</t>
  </si>
  <si>
    <t xml:space="preserve">Budgeted RSA </t>
  </si>
  <si>
    <t xml:space="preserve">Budgeted MMM&amp;S/PCC </t>
  </si>
  <si>
    <t>Pretrial Services</t>
  </si>
  <si>
    <t>JPTS</t>
  </si>
  <si>
    <t>Pretrial Services Division</t>
  </si>
  <si>
    <t>(2 budgeted RSA's)</t>
  </si>
  <si>
    <t xml:space="preserve">        Less: GCCC Security DPS RS (Unbudgeted)</t>
  </si>
  <si>
    <t>JGCCC</t>
  </si>
  <si>
    <t>Unbudgeted DPS/GCCC Security</t>
  </si>
  <si>
    <t>2017COC</t>
  </si>
  <si>
    <t>2018 COC</t>
  </si>
  <si>
    <t>FY17</t>
  </si>
  <si>
    <t>FY18</t>
  </si>
  <si>
    <t>Increase in July due to Bethel vacant cases being assigned to Barrow for coverage</t>
  </si>
  <si>
    <t>2019 COC</t>
  </si>
  <si>
    <t>25</t>
  </si>
  <si>
    <t>FY2018</t>
  </si>
  <si>
    <t>FY2018                                                                                                                                                      AVERAGE YEAR TO DATE INMATE POPULATION</t>
  </si>
  <si>
    <t>Institution Director's Office (IDO)</t>
  </si>
  <si>
    <t xml:space="preserve">Wildwood Correctional </t>
  </si>
  <si>
    <t xml:space="preserve">Spring Creek Correctional </t>
  </si>
  <si>
    <t xml:space="preserve">Goose Creek Correctional </t>
  </si>
  <si>
    <t xml:space="preserve">Hiland Mtn. Correctional </t>
  </si>
  <si>
    <t xml:space="preserve">Mat-Su Correctional </t>
  </si>
  <si>
    <t xml:space="preserve">Fairbanks Correctional </t>
  </si>
  <si>
    <t xml:space="preserve">Ketchikan Correctional </t>
  </si>
  <si>
    <t xml:space="preserve">Lemon Creek Correctional </t>
  </si>
  <si>
    <t xml:space="preserve">Pt. Mackenzie Correctional </t>
  </si>
  <si>
    <t>Inmate Transportation</t>
  </si>
  <si>
    <t>Education Programs</t>
  </si>
  <si>
    <t>Probation &amp; Parole Director Office</t>
  </si>
  <si>
    <t>Behavioral Health Care</t>
  </si>
  <si>
    <t>CONV</t>
  </si>
  <si>
    <t>UUU (Unidentified)/IRIS CONV</t>
  </si>
  <si>
    <t xml:space="preserve">Juneau Admin Office / Anchorage </t>
  </si>
  <si>
    <t>Garment Shop HMCC</t>
  </si>
  <si>
    <t>Major Med/Guard Hire</t>
  </si>
  <si>
    <t>Yukon Kuskokwim Correctional</t>
  </si>
  <si>
    <t>AK Supplemental Benefit (SBS)</t>
  </si>
  <si>
    <t>Commodity/ Transfer</t>
  </si>
  <si>
    <t>Travel/Moving Cost</t>
  </si>
  <si>
    <t>2000/2003</t>
  </si>
  <si>
    <t>2000/2001</t>
  </si>
  <si>
    <t>:2 RSA's</t>
  </si>
  <si>
    <t>2000/2001/2004</t>
  </si>
  <si>
    <t>3001/3002</t>
  </si>
  <si>
    <t>Utility Costs: Based on Alder Report Expenditures by Location</t>
  </si>
  <si>
    <t>DOC 
Annual Cost</t>
  </si>
  <si>
    <t>Fixed Cost: (BIP $ 68,500 /PBP $ 106,200) @ DPS</t>
  </si>
  <si>
    <t>1001/1002/1004</t>
  </si>
  <si>
    <t>Less: Reimb Courts (Mental Health Court)</t>
  </si>
  <si>
    <t>Less: JSAP FED Public Protection</t>
  </si>
  <si>
    <t xml:space="preserve">Less: JBHC Alcohol Tax RSA (SCCC Men's Sub-Acute JAS) </t>
  </si>
  <si>
    <t>Less: JSAP RSAT &amp; Vivitrol RSA's</t>
  </si>
  <si>
    <t>Less: JEDP Carl Perkings RS</t>
  </si>
  <si>
    <t>Less: JEDP MOS RS</t>
  </si>
  <si>
    <t>Less: JEDP ABE/GED RS</t>
  </si>
  <si>
    <t>Total Alder Revenue Report (3 budgeted RS)</t>
  </si>
  <si>
    <t>Institutions Director's Office (IDO)</t>
  </si>
  <si>
    <t>Less: JTRN Inmate Transport RS</t>
  </si>
  <si>
    <t>: Grand Total</t>
  </si>
  <si>
    <t>Less Consultants &amp; Contract Services:</t>
  </si>
  <si>
    <t>Transportation Unit</t>
  </si>
  <si>
    <t>Point Mackenzie Correctional</t>
  </si>
  <si>
    <t>Revenue Code</t>
  </si>
  <si>
    <t xml:space="preserve">        Less: DNR/MMM&amp;S RSA (Closed)</t>
  </si>
  <si>
    <t>FY19</t>
  </si>
  <si>
    <t xml:space="preserve">26 cases shifted to Kenai </t>
  </si>
  <si>
    <t>Cases shifted to Kodiak following PO III retirement</t>
  </si>
  <si>
    <t>Bethel cases returned to Bethel Office for supervision (May)</t>
  </si>
  <si>
    <t>Misd
Male
Unsent</t>
  </si>
  <si>
    <t>Misd
Female
Sent</t>
  </si>
  <si>
    <t>Misd
Female
Unsent</t>
  </si>
  <si>
    <t>Felony
Female
Sent</t>
  </si>
  <si>
    <t>Felony
Female
Unsent</t>
  </si>
  <si>
    <t>Grand
Total</t>
  </si>
  <si>
    <t>KENAI TWO</t>
  </si>
  <si>
    <t>OOS TOTAL</t>
  </si>
  <si>
    <t>1.604,161</t>
  </si>
  <si>
    <t>FY2015: Total Exp AR less SB64 PACE RSA, less SB64 1st DUI (JCOM)</t>
  </si>
  <si>
    <t>FY2018: Total Exp AR less Unbudgeted RS (JCOM) Revenue 5200 - Statutory Designated Program ($97,432.00)</t>
  </si>
  <si>
    <t>Federal Receipts - Grants</t>
  </si>
  <si>
    <t>Less: Unbudgeted RSA Security</t>
  </si>
  <si>
    <t>Less: JVEP Unbudgeted Step Grant RS</t>
  </si>
  <si>
    <t>All Budgeted/Unbudgeted RSA's</t>
  </si>
  <si>
    <t>Unbudgeted</t>
  </si>
  <si>
    <t>(3 budgeted RSA's) + Unbudgeted Step</t>
  </si>
  <si>
    <t>JEDP/JVEP</t>
  </si>
  <si>
    <t>Statutory Designated CRJ</t>
  </si>
  <si>
    <t>Federal Receipts</t>
  </si>
  <si>
    <t>Less: Education (3) RSAs , JVEP (unbudgeted)</t>
  </si>
  <si>
    <t>Less: 1 Voc Ed Programs RSA's (Unbudgeted)</t>
  </si>
  <si>
    <t>Adjusted/SCCC BOA Leasing</t>
  </si>
  <si>
    <t>JSCC</t>
  </si>
  <si>
    <t>Notes:</t>
  </si>
  <si>
    <t>Adjusted/PCC Due to Closure</t>
  </si>
  <si>
    <t xml:space="preserve">Notes: </t>
  </si>
  <si>
    <r>
      <t xml:space="preserve">TWO </t>
    </r>
    <r>
      <rPr>
        <b/>
        <i/>
        <sz val="11"/>
        <rFont val="Arial"/>
        <family val="2"/>
      </rPr>
      <t>(New)</t>
    </r>
  </si>
  <si>
    <r>
      <t xml:space="preserve">Pretrial EM </t>
    </r>
    <r>
      <rPr>
        <b/>
        <i/>
        <sz val="11"/>
        <rFont val="Arial"/>
        <family val="2"/>
      </rPr>
      <t>(New)</t>
    </r>
  </si>
  <si>
    <t>FY2019</t>
  </si>
  <si>
    <t>Misd
Male
Sent</t>
  </si>
  <si>
    <t>Average Daily Community Jail Population for Fiscal Year 2019</t>
  </si>
  <si>
    <t>FY19 N/A Unbudgeted RS</t>
  </si>
  <si>
    <t>FY18/FY19 PCC Closed - Exp Reduced</t>
  </si>
  <si>
    <t>Business/Safety</t>
  </si>
  <si>
    <t>Rev Codes:</t>
  </si>
  <si>
    <t xml:space="preserve">FY19 No Unbudgeted RS Step C </t>
  </si>
  <si>
    <t>Administration &amp; Support</t>
  </si>
  <si>
    <t>Probation Presentence Unit</t>
  </si>
  <si>
    <t>Goose Creek Furniture GCCC</t>
  </si>
  <si>
    <t>* FY18 / FY19 PCC Removed - as PCC Closed $ 41,211,974</t>
  </si>
  <si>
    <t>Decreased by Unbud RSA's (No Step C - FY19)</t>
  </si>
  <si>
    <t>FY20</t>
  </si>
  <si>
    <t>Dillingham cases shifted, then returned March.</t>
  </si>
  <si>
    <t>FY2019                                                                                                                                                      AVERAGE YEAR TO DATE INMATE POPULATION</t>
  </si>
  <si>
    <t>2020 COC</t>
  </si>
  <si>
    <t>Hiland Mtn.CC</t>
  </si>
  <si>
    <t>Anvil Mtn.CC</t>
  </si>
  <si>
    <t>Average Daily Institutional Population for Fiscal Year 2020</t>
  </si>
  <si>
    <t>Average Daily CRC Population for Fiscal Year 2020</t>
  </si>
  <si>
    <t>Average Daily Probationers/Parole Served for Fiscal Year 2020</t>
  </si>
  <si>
    <t>Average Daily Community Jail Population for Fiscal Year 2020</t>
  </si>
  <si>
    <t>* 2019 Leap Year</t>
  </si>
  <si>
    <t>Annual Total Mandays for Fiscal Year 2020</t>
  </si>
  <si>
    <t>Average Daily Electronic Monitoring Population for Fiscal Year 2020</t>
  </si>
  <si>
    <t>Average Daily Out-of-State Population for Fiscal Year 2020</t>
  </si>
  <si>
    <t>Daily Cost (Divided by 366 days)*</t>
  </si>
  <si>
    <t xml:space="preserve">Total Pretrial Costs </t>
  </si>
  <si>
    <t>April Wilkerson</t>
  </si>
  <si>
    <t>FY2020                                                                                                                                                      AVERAGE YEAR TO DATE INMATE POPULATION</t>
  </si>
  <si>
    <t>2021 COC</t>
  </si>
  <si>
    <t>JULY 2019 TO JUNE 2020-NUMBER OF PERSONS</t>
  </si>
  <si>
    <t>JULY 2019 TO JUNE 2020--NUMBER OF MAN-DAYS</t>
  </si>
  <si>
    <t>COC 2021</t>
  </si>
  <si>
    <t>* 2020 Leap Year</t>
  </si>
  <si>
    <t>ANNUAL AVERAGE DAILY</t>
  </si>
  <si>
    <t>FY2020</t>
  </si>
  <si>
    <t>FY21</t>
  </si>
  <si>
    <t>Dillingham cases assigned to Kenai (April)</t>
  </si>
  <si>
    <t>Dillingham/Kodiak Cases assigned to Palmer during PO III vacancies</t>
  </si>
  <si>
    <t xml:space="preserve">* Average Daily Probationers / Parole Served for Fiscal Year 2020:  </t>
  </si>
  <si>
    <t xml:space="preserve">2020 Leap Year </t>
  </si>
  <si>
    <t>Revised 9/18/20 lj</t>
  </si>
  <si>
    <t>Revised 9/23/20 lj</t>
  </si>
  <si>
    <t>Revised 9/24/20 lj</t>
  </si>
  <si>
    <t>Less: DHSS RS (2) Meals &amp; Maint</t>
  </si>
  <si>
    <t xml:space="preserve">KCC - FY20 No Unbudgeted Meals RS </t>
  </si>
  <si>
    <t>Meals RS $66,448.58 / Laundry RS $219,154.93</t>
  </si>
  <si>
    <t>5002/5004</t>
  </si>
  <si>
    <t>FY20 UnbudgRS/Meals $23,194.90</t>
  </si>
  <si>
    <t>Budgeted Meals RS $80,358.99</t>
  </si>
  <si>
    <t>RSAs</t>
  </si>
  <si>
    <t>ck IRIS</t>
  </si>
  <si>
    <t>Revised  9/24/20 lj</t>
  </si>
  <si>
    <t>*Utility Cost included within each Institution $10,810,288.89</t>
  </si>
  <si>
    <t>Grand Total of 6 components $ 69,776,361.98 BHC, PHC, HRDirector,Domestic V, Substance, Sex Offender)</t>
  </si>
  <si>
    <t>Grand Total (HRS RDU) 6 components (BHC, PHC, HRDirector,Domestic V, Substance, Sex Offender) + RSA's</t>
  </si>
  <si>
    <t>Grand Total (OFH RDU) 2 components $ 1,337,281.44 ( Education Programs &amp; Vocational Education Programs)</t>
  </si>
  <si>
    <t>FY20 Multiple Unbudgeted RS</t>
  </si>
  <si>
    <t>Less: JCIM Unbudgeted (Multiple)</t>
  </si>
  <si>
    <t>*FY20 Probation Offices Utility Cost Charged to 24hr Utility ARU $43,212.39</t>
  </si>
  <si>
    <t>Total Expenditures of FY2020</t>
  </si>
  <si>
    <t xml:space="preserve">FY2019: No RSAs </t>
  </si>
  <si>
    <t>RS/Budgeted &amp; 
Unbudgeted</t>
  </si>
  <si>
    <t>FY2020 Core Service $837,000, Windows7 $226,689.79 (JINT)</t>
  </si>
  <si>
    <t>FY2020 Core Service $317,300, COVID19 $479,896.05, and COVI19 Disaster $ 1,294,630.60 (JADM)</t>
  </si>
  <si>
    <t>Revised:  9/24/20 lj</t>
  </si>
  <si>
    <t>By Individual Institution (Based on FY2020 Actuals)</t>
  </si>
  <si>
    <t>FY2020 Vehicle Inventory Total</t>
  </si>
  <si>
    <t>Aquired in FY2020</t>
  </si>
  <si>
    <t>Substance Abuse Programs</t>
  </si>
  <si>
    <t>Health &amp; Rehabilitation DO</t>
  </si>
  <si>
    <t>Recidivism Reduction Grants</t>
  </si>
  <si>
    <t>Vocation Education Programs</t>
  </si>
  <si>
    <t>Updated:  9/23/20 lj</t>
  </si>
  <si>
    <t>Total as of 6/30/20</t>
  </si>
  <si>
    <t>*FY20 PCC Included</t>
  </si>
  <si>
    <t>Information Tech MIS</t>
  </si>
  <si>
    <t>(2) Unbudgeted RS FY20</t>
  </si>
  <si>
    <t>(3) Unbudgeted RS FY20</t>
  </si>
  <si>
    <t>(2) RS Meals / Maint</t>
  </si>
  <si>
    <t>FY20 MealsUnbudgeted RS</t>
  </si>
  <si>
    <t>(1) FY20 Unbudgeted RS</t>
  </si>
  <si>
    <t>Revised: 9/23/20 lj</t>
  </si>
  <si>
    <t>Total Alder Revenue Report (budgeted &amp; Unbudgeted RSA's)</t>
  </si>
  <si>
    <t>Less: JHDO Core Service Unbud RSA's</t>
  </si>
  <si>
    <t>JHDO</t>
  </si>
  <si>
    <t>FY20 Core Service Unbudgeted RS</t>
  </si>
  <si>
    <t>FY2020 FED Receipts - Grants $15,000</t>
  </si>
  <si>
    <t>FY2020 No Unbudgeted RSA</t>
  </si>
  <si>
    <t>FY2020 Included</t>
  </si>
  <si>
    <t>FY2020 100% Restricted</t>
  </si>
  <si>
    <t>FY2020 Unbudgeted RS</t>
  </si>
  <si>
    <t xml:space="preserve">Unbudgeted RS (3) </t>
  </si>
  <si>
    <t xml:space="preserve">Unbudgeted RS (2) </t>
  </si>
  <si>
    <t xml:space="preserve">        Less: WCC Meals RS (Unbudgeted)</t>
  </si>
  <si>
    <t>JWCC</t>
  </si>
  <si>
    <t>Unbudgeted WCC Meals RSA</t>
  </si>
  <si>
    <t>Less: RSA Meals</t>
  </si>
  <si>
    <t xml:space="preserve">        Less: RS (Unbudgeted)</t>
  </si>
  <si>
    <t>JCIP</t>
  </si>
  <si>
    <t>budgeted only</t>
  </si>
  <si>
    <t xml:space="preserve">        Less: (2) Laundry &amp; Meals RS</t>
  </si>
  <si>
    <t>JAMC /JYKC</t>
  </si>
  <si>
    <t xml:space="preserve">        Less: (2) Meals + (1) AMCC Maint</t>
  </si>
  <si>
    <t>Budgeted DOT/Laundry &amp; Meals RS</t>
  </si>
  <si>
    <t>Youth Meals &amp; Maint (3) Budgeted RS</t>
  </si>
  <si>
    <t>JPPD Total EXP less FED Receipts</t>
  </si>
  <si>
    <t>JADS/JINT</t>
  </si>
  <si>
    <t>Less: Unbudgeted RS in FY2020 (Covid19)</t>
  </si>
  <si>
    <t>Less: (2) RSAT &amp; Vivitrol RS</t>
  </si>
  <si>
    <t>Health &amp; Rehab Svcs: RSAT &amp; Vivitrol R</t>
  </si>
  <si>
    <t>Less: FED Public Protection Grants</t>
  </si>
  <si>
    <t>FED Receipts GRANTS</t>
  </si>
  <si>
    <t xml:space="preserve">        Less: RS (Unbudgeted RS)</t>
  </si>
  <si>
    <t>Unbudgeted RS</t>
  </si>
  <si>
    <t>Less: WCC Meals RS (Unbudgeted)</t>
  </si>
  <si>
    <t>P&amp;PDO FED Receipts</t>
  </si>
  <si>
    <t>DAILY AVERAGE BY INSTITUTION BY SEX BY CRIME DEGREE: FY2020</t>
  </si>
  <si>
    <t>WILDWOOD TRAN</t>
  </si>
  <si>
    <t>CORDOVA EM</t>
  </si>
  <si>
    <t>EM CORDOVA CTR</t>
  </si>
  <si>
    <t>EM MIDTOWN CTR ANCH</t>
  </si>
  <si>
    <t>EM NORTHSTAR CTR</t>
  </si>
  <si>
    <t>CALIFORNIA</t>
  </si>
  <si>
    <t>INDIANA STATE PRISON</t>
  </si>
  <si>
    <t>Average Daily Pretrial Population for Fiscal Year 2020</t>
  </si>
  <si>
    <t>Updated: 09/25/20 lj</t>
  </si>
  <si>
    <t>Revised: 10/05/20 lj</t>
  </si>
  <si>
    <t>Revised 11/09/20 lj</t>
  </si>
  <si>
    <t>Revised  11/16/20 lj</t>
  </si>
  <si>
    <t>Alder Grand Total DOC + MultiYear ARU/2nd Chance Grant JRRG $ 366,548.94 (FED)</t>
  </si>
  <si>
    <t xml:space="preserve">JRRG MultiYear: 2nd Chance Grant </t>
  </si>
  <si>
    <t>JRRG Major Program: 20SCFG / Program: 20SCAGFED/SCFG19</t>
  </si>
  <si>
    <t>Less: JRRG 2nd Chance Grant</t>
  </si>
  <si>
    <t>Adjusted/ 2nd Chance Grant</t>
  </si>
  <si>
    <t>Revised: 11/24/20 lj</t>
  </si>
  <si>
    <t>SCAAPGrant JADS-IDO/2nd Chance JRRG</t>
  </si>
  <si>
    <t>FY20 PTS $10,116,253.31</t>
  </si>
  <si>
    <t>:Total ALDER Report, 24HRS (Portion), 2nd change grant, less PTS</t>
  </si>
  <si>
    <t>Revised 11/24/20 lj</t>
  </si>
  <si>
    <t>DAILY COST OF CARE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</si>
</sst>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s>
  <fonts count="10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10"/>
      <color indexed="10"/>
      <name val="Arial"/>
      <family val="2"/>
    </font>
    <font>
      <sz val="9"/>
      <color indexed="81"/>
      <name val="Tahoma"/>
      <family val="2"/>
    </font>
    <font>
      <b/>
      <sz val="9"/>
      <color indexed="81"/>
      <name val="Tahoma"/>
      <family val="2"/>
    </font>
    <font>
      <u/>
      <sz val="8"/>
      <color indexed="81"/>
      <name val="Tahoma"/>
      <family val="2"/>
    </font>
    <font>
      <b/>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u/>
      <sz val="10"/>
      <name val="Arial"/>
      <family val="2"/>
    </font>
    <font>
      <sz val="10"/>
      <color indexed="8"/>
      <name val="Arial"/>
      <family val="2"/>
    </font>
    <font>
      <sz val="8"/>
      <name val="Arial"/>
      <family val="2"/>
    </font>
    <font>
      <b/>
      <i/>
      <sz val="12"/>
      <name val="Arial"/>
      <family val="2"/>
    </font>
    <font>
      <b/>
      <sz val="7"/>
      <color indexed="4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i/>
      <sz val="9"/>
      <name val="Arial"/>
      <family val="2"/>
    </font>
    <font>
      <b/>
      <i/>
      <sz val="9"/>
      <color indexed="81"/>
      <name val="Tahoma"/>
      <family val="2"/>
    </font>
    <font>
      <i/>
      <sz val="9"/>
      <name val="Calibri"/>
      <family val="2"/>
    </font>
    <font>
      <b/>
      <i/>
      <u/>
      <sz val="8"/>
      <color indexed="81"/>
      <name val="Tahoma"/>
      <family val="2"/>
    </font>
    <font>
      <i/>
      <sz val="10"/>
      <color rgb="FFFF0000"/>
      <name val="Arial"/>
      <family val="2"/>
    </font>
    <font>
      <b/>
      <i/>
      <u/>
      <sz val="10"/>
      <name val="Calibri"/>
      <family val="2"/>
    </font>
    <font>
      <b/>
      <i/>
      <sz val="11"/>
      <name val="Arial"/>
      <family val="2"/>
    </font>
    <font>
      <i/>
      <sz val="10"/>
      <color indexed="62"/>
      <name val="Arial"/>
      <family val="2"/>
    </font>
    <font>
      <b/>
      <sz val="10"/>
      <color theme="1"/>
      <name val="Calibri"/>
      <family val="2"/>
      <scheme val="minor"/>
    </font>
  </fonts>
  <fills count="50">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18"/>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indexed="1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4" tint="0.59999389629810485"/>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8"/>
      </left>
      <right/>
      <top style="thin">
        <color indexed="8"/>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indexed="64"/>
      </left>
      <right style="thin">
        <color indexed="64"/>
      </right>
      <top style="double">
        <color indexed="64"/>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bottom style="medium">
        <color indexed="64"/>
      </bottom>
      <diagonal/>
    </border>
    <border>
      <left style="thin">
        <color rgb="FF000000"/>
      </left>
      <right style="thin">
        <color rgb="FF000000"/>
      </right>
      <top/>
      <bottom style="thin">
        <color rgb="FF000000"/>
      </bottom>
      <diagonal/>
    </border>
  </borders>
  <cellStyleXfs count="140">
    <xf numFmtId="0" fontId="0" fillId="0" borderId="0"/>
    <xf numFmtId="0" fontId="70" fillId="7" borderId="0" applyNumberFormat="0" applyBorder="0" applyAlignment="0" applyProtection="0"/>
    <xf numFmtId="0" fontId="70" fillId="8" borderId="0" applyNumberFormat="0" applyBorder="0" applyAlignment="0" applyProtection="0"/>
    <xf numFmtId="0" fontId="70" fillId="9" borderId="0" applyNumberFormat="0" applyBorder="0" applyAlignment="0" applyProtection="0"/>
    <xf numFmtId="0" fontId="70" fillId="10" borderId="0" applyNumberFormat="0" applyBorder="0" applyAlignment="0" applyProtection="0"/>
    <xf numFmtId="0" fontId="70" fillId="11" borderId="0" applyNumberFormat="0" applyBorder="0" applyAlignment="0" applyProtection="0"/>
    <xf numFmtId="0" fontId="70" fillId="12"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70" fillId="15" borderId="0" applyNumberFormat="0" applyBorder="0" applyAlignment="0" applyProtection="0"/>
    <xf numFmtId="0" fontId="70" fillId="16" borderId="0" applyNumberFormat="0" applyBorder="0" applyAlignment="0" applyProtection="0"/>
    <xf numFmtId="0" fontId="70" fillId="17" borderId="0" applyNumberFormat="0" applyBorder="0" applyAlignment="0" applyProtection="0"/>
    <xf numFmtId="0" fontId="70" fillId="18" borderId="0" applyNumberFormat="0" applyBorder="0" applyAlignment="0" applyProtection="0"/>
    <xf numFmtId="0" fontId="71" fillId="19" borderId="0" applyNumberFormat="0" applyBorder="0" applyAlignment="0" applyProtection="0"/>
    <xf numFmtId="0" fontId="71" fillId="20" borderId="0" applyNumberFormat="0" applyBorder="0" applyAlignment="0" applyProtection="0"/>
    <xf numFmtId="0" fontId="71" fillId="21" borderId="0" applyNumberFormat="0" applyBorder="0" applyAlignment="0" applyProtection="0"/>
    <xf numFmtId="0" fontId="71" fillId="22" borderId="0" applyNumberFormat="0" applyBorder="0" applyAlignment="0" applyProtection="0"/>
    <xf numFmtId="0" fontId="71" fillId="23"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28" borderId="0" applyNumberFormat="0" applyBorder="0" applyAlignment="0" applyProtection="0"/>
    <xf numFmtId="0" fontId="71" fillId="29" borderId="0" applyNumberFormat="0" applyBorder="0" applyAlignment="0" applyProtection="0"/>
    <xf numFmtId="0" fontId="71" fillId="30" borderId="0" applyNumberFormat="0" applyBorder="0" applyAlignment="0" applyProtection="0"/>
    <xf numFmtId="0" fontId="72" fillId="31" borderId="0" applyNumberFormat="0" applyBorder="0" applyAlignment="0" applyProtection="0"/>
    <xf numFmtId="0" fontId="73" fillId="32" borderId="91" applyNumberFormat="0" applyAlignment="0" applyProtection="0"/>
    <xf numFmtId="0" fontId="74" fillId="33" borderId="92" applyNumberFormat="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26" fillId="0" borderId="0" applyFont="0" applyFill="0" applyBorder="0" applyAlignment="0" applyProtection="0"/>
    <xf numFmtId="0" fontId="75" fillId="0" borderId="0" applyNumberFormat="0" applyFill="0" applyBorder="0" applyAlignment="0" applyProtection="0"/>
    <xf numFmtId="0" fontId="76" fillId="34" borderId="0" applyNumberFormat="0" applyBorder="0" applyAlignment="0" applyProtection="0"/>
    <xf numFmtId="0" fontId="77" fillId="0" borderId="93" applyNumberFormat="0" applyFill="0" applyAlignment="0" applyProtection="0"/>
    <xf numFmtId="0" fontId="78" fillId="0" borderId="94" applyNumberFormat="0" applyFill="0" applyAlignment="0" applyProtection="0"/>
    <xf numFmtId="0" fontId="79" fillId="0" borderId="95" applyNumberFormat="0" applyFill="0" applyAlignment="0" applyProtection="0"/>
    <xf numFmtId="0" fontId="79" fillId="0" borderId="0" applyNumberFormat="0" applyFill="0" applyBorder="0" applyAlignment="0" applyProtection="0"/>
    <xf numFmtId="0" fontId="80" fillId="35" borderId="91" applyNumberFormat="0" applyAlignment="0" applyProtection="0"/>
    <xf numFmtId="0" fontId="81" fillId="0" borderId="96" applyNumberFormat="0" applyFill="0" applyAlignment="0" applyProtection="0"/>
    <xf numFmtId="0" fontId="82" fillId="36" borderId="0" applyNumberFormat="0" applyBorder="0" applyAlignment="0" applyProtection="0"/>
    <xf numFmtId="0" fontId="70" fillId="0" borderId="0"/>
    <xf numFmtId="0" fontId="25" fillId="0" borderId="0"/>
    <xf numFmtId="0" fontId="5" fillId="0" borderId="0"/>
    <xf numFmtId="0" fontId="5" fillId="0" borderId="0"/>
    <xf numFmtId="0" fontId="26"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26" fillId="37" borderId="97" applyNumberFormat="0" applyFont="0" applyAlignment="0" applyProtection="0"/>
    <xf numFmtId="0" fontId="37" fillId="37" borderId="97" applyNumberFormat="0" applyFont="0" applyAlignment="0" applyProtection="0"/>
    <xf numFmtId="0" fontId="26" fillId="37" borderId="97" applyNumberFormat="0" applyFont="0" applyAlignment="0" applyProtection="0"/>
    <xf numFmtId="0" fontId="83" fillId="32" borderId="98" applyNumberFormat="0" applyAlignment="0" applyProtection="0"/>
    <xf numFmtId="0" fontId="84" fillId="0" borderId="0" applyNumberFormat="0" applyFill="0" applyBorder="0" applyAlignment="0" applyProtection="0"/>
    <xf numFmtId="0" fontId="85" fillId="0" borderId="99" applyNumberFormat="0" applyFill="0" applyAlignment="0" applyProtection="0"/>
    <xf numFmtId="0" fontId="86" fillId="0" borderId="0" applyNumberFormat="0" applyFill="0" applyBorder="0" applyAlignment="0" applyProtection="0"/>
    <xf numFmtId="0" fontId="88" fillId="0" borderId="0"/>
    <xf numFmtId="43" fontId="88" fillId="0" borderId="0" applyFont="0" applyFill="0" applyBorder="0" applyAlignment="0" applyProtection="0"/>
    <xf numFmtId="44" fontId="88" fillId="0" borderId="0" applyFont="0" applyFill="0" applyBorder="0" applyAlignment="0" applyProtection="0"/>
    <xf numFmtId="0" fontId="88" fillId="0" borderId="0"/>
    <xf numFmtId="0" fontId="88" fillId="0" borderId="0"/>
    <xf numFmtId="0" fontId="89"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0" borderId="0"/>
    <xf numFmtId="0" fontId="2" fillId="0" borderId="0"/>
    <xf numFmtId="0" fontId="2" fillId="0" borderId="0"/>
    <xf numFmtId="0" fontId="2" fillId="0" borderId="0"/>
    <xf numFmtId="0" fontId="2" fillId="37" borderId="97" applyNumberFormat="0" applyFont="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43" fontId="2"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2" fillId="0" borderId="0"/>
    <xf numFmtId="0" fontId="88"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xf numFmtId="0" fontId="1"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cellStyleXfs>
  <cellXfs count="942">
    <xf numFmtId="0" fontId="0" fillId="0" borderId="0" xfId="0"/>
    <xf numFmtId="0" fontId="0" fillId="0" borderId="1" xfId="0" applyBorder="1"/>
    <xf numFmtId="0" fontId="4" fillId="0" borderId="2" xfId="0" applyFont="1" applyBorder="1" applyAlignment="1">
      <alignment horizontal="center" vertical="center"/>
    </xf>
    <xf numFmtId="1" fontId="8" fillId="0" borderId="1" xfId="0" applyNumberFormat="1" applyFont="1" applyBorder="1" applyAlignment="1">
      <alignment horizontal="center"/>
    </xf>
    <xf numFmtId="41" fontId="8" fillId="0" borderId="1" xfId="0" applyNumberFormat="1" applyFont="1" applyBorder="1" applyAlignment="1">
      <alignment horizontal="center"/>
    </xf>
    <xf numFmtId="3" fontId="8" fillId="0" borderId="1" xfId="0" applyNumberFormat="1" applyFont="1" applyBorder="1" applyAlignment="1">
      <alignment horizontal="center"/>
    </xf>
    <xf numFmtId="0" fontId="7" fillId="0" borderId="0" xfId="0" applyFont="1" applyAlignment="1">
      <alignment vertical="top"/>
    </xf>
    <xf numFmtId="0" fontId="9" fillId="0" borderId="0" xfId="0" applyFont="1"/>
    <xf numFmtId="0" fontId="10" fillId="0" borderId="0" xfId="0" applyFont="1"/>
    <xf numFmtId="0" fontId="0" fillId="0" borderId="2" xfId="0" applyBorder="1"/>
    <xf numFmtId="0" fontId="0" fillId="0" borderId="3" xfId="0" applyBorder="1"/>
    <xf numFmtId="0" fontId="7" fillId="0" borderId="0" xfId="0" applyFont="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17" fontId="8" fillId="0" borderId="13" xfId="0" applyNumberFormat="1" applyFont="1" applyBorder="1" applyAlignment="1">
      <alignment horizontal="left"/>
    </xf>
    <xf numFmtId="17" fontId="7" fillId="0" borderId="14" xfId="0" applyNumberFormat="1" applyFont="1" applyBorder="1" applyAlignment="1">
      <alignment horizontal="center"/>
    </xf>
    <xf numFmtId="0" fontId="7" fillId="0" borderId="14" xfId="0" applyFont="1" applyBorder="1" applyAlignment="1">
      <alignment horizontal="center"/>
    </xf>
    <xf numFmtId="0" fontId="7" fillId="0" borderId="14" xfId="0" applyFont="1" applyBorder="1"/>
    <xf numFmtId="0" fontId="0" fillId="0" borderId="16" xfId="0" applyBorder="1"/>
    <xf numFmtId="0" fontId="14" fillId="0" borderId="17" xfId="0" applyFont="1" applyBorder="1" applyAlignment="1">
      <alignment horizontal="center"/>
    </xf>
    <xf numFmtId="0" fontId="14" fillId="0" borderId="18" xfId="0" applyFont="1" applyBorder="1" applyAlignment="1">
      <alignment horizontal="center"/>
    </xf>
    <xf numFmtId="0" fontId="9" fillId="0" borderId="19" xfId="0" applyFont="1" applyBorder="1" applyAlignment="1">
      <alignment horizontal="center"/>
    </xf>
    <xf numFmtId="0" fontId="11" fillId="0" borderId="0" xfId="0" applyFont="1" applyAlignment="1">
      <alignment vertical="top"/>
    </xf>
    <xf numFmtId="17" fontId="11" fillId="0" borderId="20" xfId="0" applyNumberFormat="1" applyFont="1" applyBorder="1" applyAlignment="1">
      <alignment horizontal="center"/>
    </xf>
    <xf numFmtId="0" fontId="11" fillId="0" borderId="18" xfId="0" applyFont="1" applyBorder="1" applyAlignment="1">
      <alignment horizontal="center"/>
    </xf>
    <xf numFmtId="0" fontId="10" fillId="0" borderId="21" xfId="0" applyFont="1" applyBorder="1" applyAlignment="1">
      <alignment horizontal="left"/>
    </xf>
    <xf numFmtId="17" fontId="10" fillId="0" borderId="22" xfId="0" applyNumberFormat="1" applyFont="1" applyBorder="1" applyAlignment="1">
      <alignment horizontal="left"/>
    </xf>
    <xf numFmtId="17" fontId="10" fillId="0" borderId="23" xfId="0" applyNumberFormat="1" applyFont="1" applyBorder="1" applyAlignment="1">
      <alignment horizontal="left"/>
    </xf>
    <xf numFmtId="17" fontId="11" fillId="0" borderId="23" xfId="0" applyNumberFormat="1" applyFont="1" applyBorder="1" applyAlignment="1">
      <alignment horizontal="left"/>
    </xf>
    <xf numFmtId="0" fontId="11" fillId="0" borderId="20" xfId="0" applyFont="1" applyBorder="1" applyAlignment="1">
      <alignment horizontal="center"/>
    </xf>
    <xf numFmtId="0" fontId="11" fillId="0" borderId="20" xfId="0" applyFont="1" applyBorder="1"/>
    <xf numFmtId="0" fontId="11" fillId="0" borderId="7" xfId="0" applyFont="1" applyBorder="1"/>
    <xf numFmtId="0" fontId="10" fillId="0" borderId="17" xfId="0" applyFont="1" applyBorder="1"/>
    <xf numFmtId="0" fontId="11" fillId="0" borderId="25" xfId="0" applyFont="1" applyBorder="1" applyAlignment="1">
      <alignment horizontal="center"/>
    </xf>
    <xf numFmtId="0" fontId="11" fillId="0" borderId="26" xfId="0" applyFont="1" applyBorder="1" applyAlignment="1">
      <alignment horizontal="center"/>
    </xf>
    <xf numFmtId="17" fontId="11" fillId="0" borderId="24" xfId="0" applyNumberFormat="1" applyFont="1" applyBorder="1" applyAlignment="1">
      <alignment horizontal="center"/>
    </xf>
    <xf numFmtId="17" fontId="11" fillId="0" borderId="27" xfId="0" applyNumberFormat="1" applyFont="1" applyBorder="1" applyAlignment="1">
      <alignment horizontal="center"/>
    </xf>
    <xf numFmtId="17" fontId="11" fillId="0" borderId="28" xfId="0" applyNumberFormat="1" applyFont="1" applyBorder="1" applyAlignment="1">
      <alignment horizontal="center"/>
    </xf>
    <xf numFmtId="3" fontId="16" fillId="0" borderId="29" xfId="0" applyNumberFormat="1" applyFont="1" applyBorder="1" applyAlignment="1">
      <alignment horizontal="center"/>
    </xf>
    <xf numFmtId="3" fontId="10" fillId="0" borderId="29" xfId="0" applyNumberFormat="1" applyFont="1" applyBorder="1" applyAlignment="1">
      <alignment horizontal="center"/>
    </xf>
    <xf numFmtId="3" fontId="11" fillId="0" borderId="29" xfId="0" applyNumberFormat="1" applyFont="1" applyBorder="1" applyAlignment="1">
      <alignment horizontal="center"/>
    </xf>
    <xf numFmtId="3" fontId="16" fillId="0" borderId="31" xfId="0" applyNumberFormat="1" applyFont="1" applyBorder="1" applyAlignment="1">
      <alignment horizontal="center"/>
    </xf>
    <xf numFmtId="3" fontId="15" fillId="0" borderId="11" xfId="0" applyNumberFormat="1" applyFont="1" applyBorder="1" applyAlignment="1">
      <alignment horizontal="center"/>
    </xf>
    <xf numFmtId="3" fontId="11" fillId="0" borderId="11" xfId="0" applyNumberFormat="1" applyFont="1" applyBorder="1" applyAlignment="1">
      <alignment horizontal="center"/>
    </xf>
    <xf numFmtId="4" fontId="10" fillId="0" borderId="6" xfId="0" applyNumberFormat="1" applyFont="1" applyBorder="1"/>
    <xf numFmtId="4" fontId="10" fillId="0" borderId="32" xfId="0" applyNumberFormat="1" applyFont="1" applyBorder="1"/>
    <xf numFmtId="4" fontId="10" fillId="0" borderId="14" xfId="0" applyNumberFormat="1" applyFont="1" applyBorder="1"/>
    <xf numFmtId="3" fontId="10" fillId="0" borderId="1"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32" xfId="0" applyNumberFormat="1" applyFont="1" applyBorder="1" applyAlignment="1">
      <alignment horizontal="center"/>
    </xf>
    <xf numFmtId="3" fontId="11" fillId="0" borderId="36" xfId="0" applyNumberFormat="1" applyFont="1" applyBorder="1" applyAlignment="1">
      <alignment horizontal="center"/>
    </xf>
    <xf numFmtId="1" fontId="10" fillId="0" borderId="19" xfId="0" applyNumberFormat="1" applyFont="1" applyBorder="1" applyAlignment="1">
      <alignment horizontal="center"/>
    </xf>
    <xf numFmtId="1" fontId="10" fillId="0" borderId="3" xfId="0" applyNumberFormat="1" applyFont="1" applyBorder="1" applyAlignment="1">
      <alignment horizontal="center"/>
    </xf>
    <xf numFmtId="1" fontId="10" fillId="0" borderId="1" xfId="0" applyNumberFormat="1" applyFont="1" applyBorder="1" applyAlignment="1">
      <alignment horizontal="center"/>
    </xf>
    <xf numFmtId="1" fontId="10" fillId="0" borderId="4" xfId="0" applyNumberFormat="1" applyFont="1" applyBorder="1" applyAlignment="1">
      <alignment horizontal="center"/>
    </xf>
    <xf numFmtId="1" fontId="10" fillId="0" borderId="5" xfId="0" applyNumberFormat="1" applyFont="1" applyBorder="1" applyAlignment="1">
      <alignment horizontal="center"/>
    </xf>
    <xf numFmtId="0" fontId="10" fillId="0" borderId="16" xfId="0" applyFont="1" applyBorder="1"/>
    <xf numFmtId="3" fontId="16" fillId="0" borderId="0" xfId="0" applyNumberFormat="1" applyFont="1" applyAlignment="1">
      <alignment horizontal="center"/>
    </xf>
    <xf numFmtId="3" fontId="11" fillId="0" borderId="14" xfId="0" applyNumberFormat="1" applyFont="1" applyBorder="1" applyAlignment="1">
      <alignment horizontal="center"/>
    </xf>
    <xf numFmtId="3" fontId="10" fillId="0" borderId="38" xfId="0" applyNumberFormat="1" applyFont="1" applyBorder="1" applyAlignment="1">
      <alignment horizontal="center" wrapText="1"/>
    </xf>
    <xf numFmtId="4" fontId="17" fillId="0" borderId="6" xfId="0" applyNumberFormat="1" applyFont="1" applyBorder="1"/>
    <xf numFmtId="4" fontId="11" fillId="0" borderId="6" xfId="0" applyNumberFormat="1" applyFont="1" applyBorder="1"/>
    <xf numFmtId="3" fontId="16" fillId="0" borderId="11" xfId="0" applyNumberFormat="1" applyFont="1" applyBorder="1" applyAlignment="1">
      <alignment horizontal="center"/>
    </xf>
    <xf numFmtId="3" fontId="15" fillId="0" borderId="37" xfId="0" applyNumberFormat="1" applyFont="1" applyBorder="1" applyAlignment="1">
      <alignment horizontal="center"/>
    </xf>
    <xf numFmtId="3" fontId="15" fillId="0" borderId="29" xfId="0" applyNumberFormat="1" applyFont="1" applyBorder="1" applyAlignment="1">
      <alignment horizontal="center"/>
    </xf>
    <xf numFmtId="3" fontId="15" fillId="0" borderId="31" xfId="0" applyNumberFormat="1" applyFont="1" applyBorder="1" applyAlignment="1">
      <alignment horizontal="center"/>
    </xf>
    <xf numFmtId="3" fontId="15" fillId="0" borderId="0" xfId="0" applyNumberFormat="1" applyFont="1" applyAlignment="1">
      <alignment horizontal="center"/>
    </xf>
    <xf numFmtId="0" fontId="11" fillId="0" borderId="0" xfId="0" applyFont="1"/>
    <xf numFmtId="3" fontId="11" fillId="0" borderId="0" xfId="0" applyNumberFormat="1" applyFont="1" applyAlignment="1">
      <alignment horizontal="center"/>
    </xf>
    <xf numFmtId="3" fontId="0" fillId="0" borderId="0" xfId="0" applyNumberFormat="1"/>
    <xf numFmtId="1" fontId="8" fillId="0" borderId="19" xfId="0" applyNumberFormat="1" applyFont="1" applyBorder="1" applyAlignment="1">
      <alignment horizontal="center"/>
    </xf>
    <xf numFmtId="1" fontId="8" fillId="0" borderId="3" xfId="0" applyNumberFormat="1" applyFont="1" applyBorder="1" applyAlignment="1">
      <alignment horizontal="center"/>
    </xf>
    <xf numFmtId="3" fontId="20" fillId="0" borderId="37" xfId="0" applyNumberFormat="1" applyFont="1" applyBorder="1" applyAlignment="1">
      <alignment horizontal="center"/>
    </xf>
    <xf numFmtId="3" fontId="20" fillId="0" borderId="11" xfId="0" applyNumberFormat="1" applyFont="1" applyBorder="1" applyAlignment="1">
      <alignment horizontal="center"/>
    </xf>
    <xf numFmtId="41" fontId="8" fillId="0" borderId="19" xfId="0" applyNumberFormat="1" applyFont="1" applyBorder="1" applyAlignment="1">
      <alignment horizontal="center"/>
    </xf>
    <xf numFmtId="41" fontId="8" fillId="0" borderId="3" xfId="0" applyNumberFormat="1" applyFont="1" applyBorder="1" applyAlignment="1">
      <alignment horizontal="center"/>
    </xf>
    <xf numFmtId="1" fontId="10" fillId="0" borderId="25" xfId="0" applyNumberFormat="1" applyFont="1" applyBorder="1" applyAlignment="1">
      <alignment horizontal="center"/>
    </xf>
    <xf numFmtId="3" fontId="20" fillId="0" borderId="0" xfId="0" applyNumberFormat="1" applyFont="1" applyAlignment="1">
      <alignment horizontal="center"/>
    </xf>
    <xf numFmtId="170" fontId="0" fillId="0" borderId="5" xfId="0" applyNumberFormat="1" applyBorder="1"/>
    <xf numFmtId="0" fontId="4" fillId="0" borderId="40"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4" fillId="0" borderId="41"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2" xfId="0" applyNumberFormat="1" applyBorder="1"/>
    <xf numFmtId="3" fontId="0" fillId="0" borderId="43" xfId="0" applyNumberFormat="1" applyBorder="1"/>
    <xf numFmtId="170" fontId="0" fillId="2" borderId="44" xfId="0" applyNumberFormat="1" applyFill="1" applyBorder="1"/>
    <xf numFmtId="0" fontId="4" fillId="2" borderId="2"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6" xfId="0" applyNumberFormat="1" applyBorder="1"/>
    <xf numFmtId="38" fontId="0" fillId="0" borderId="0" xfId="0" applyNumberFormat="1"/>
    <xf numFmtId="0" fontId="27" fillId="0" borderId="0" xfId="0" applyFont="1"/>
    <xf numFmtId="1" fontId="0" fillId="0" borderId="0" xfId="0" applyNumberFormat="1"/>
    <xf numFmtId="0" fontId="0" fillId="0" borderId="0" xfId="0" applyAlignment="1">
      <alignment wrapText="1"/>
    </xf>
    <xf numFmtId="0" fontId="0" fillId="2" borderId="0" xfId="0" applyFill="1" applyAlignment="1">
      <alignment wrapText="1"/>
    </xf>
    <xf numFmtId="0" fontId="28" fillId="0" borderId="0" xfId="0" applyFont="1"/>
    <xf numFmtId="10" fontId="0" fillId="0" borderId="0" xfId="0" applyNumberFormat="1"/>
    <xf numFmtId="0" fontId="28" fillId="0" borderId="0" xfId="0" applyFont="1" applyAlignment="1">
      <alignment horizontal="right"/>
    </xf>
    <xf numFmtId="0" fontId="39" fillId="0" borderId="0" xfId="0" applyFont="1"/>
    <xf numFmtId="42" fontId="41" fillId="0" borderId="47" xfId="0" applyNumberFormat="1" applyFont="1" applyBorder="1" applyAlignment="1">
      <alignment horizontal="center"/>
    </xf>
    <xf numFmtId="0" fontId="40" fillId="0" borderId="3" xfId="0" applyFont="1" applyBorder="1"/>
    <xf numFmtId="0" fontId="41" fillId="0" borderId="1" xfId="0" applyFont="1" applyBorder="1"/>
    <xf numFmtId="169" fontId="41" fillId="0" borderId="1" xfId="0" applyNumberFormat="1" applyFont="1" applyBorder="1" applyAlignment="1">
      <alignment horizontal="center"/>
    </xf>
    <xf numFmtId="0" fontId="42" fillId="0" borderId="1" xfId="0" applyFont="1" applyBorder="1"/>
    <xf numFmtId="41" fontId="41" fillId="0" borderId="1" xfId="0" applyNumberFormat="1" applyFont="1" applyBorder="1" applyAlignment="1">
      <alignment horizontal="center"/>
    </xf>
    <xf numFmtId="0" fontId="40" fillId="0" borderId="48" xfId="0" applyFont="1" applyBorder="1"/>
    <xf numFmtId="44" fontId="40" fillId="0" borderId="48" xfId="0" applyNumberFormat="1" applyFont="1" applyBorder="1" applyAlignment="1">
      <alignment horizontal="center"/>
    </xf>
    <xf numFmtId="0" fontId="41" fillId="0" borderId="3" xfId="0" applyFont="1" applyBorder="1"/>
    <xf numFmtId="42" fontId="41" fillId="0" borderId="3" xfId="0" applyNumberFormat="1" applyFont="1" applyBorder="1" applyAlignment="1">
      <alignment horizontal="center"/>
    </xf>
    <xf numFmtId="42" fontId="41" fillId="0" borderId="1" xfId="0" applyNumberFormat="1" applyFont="1" applyBorder="1" applyAlignment="1">
      <alignment horizontal="center"/>
    </xf>
    <xf numFmtId="44" fontId="41" fillId="0" borderId="1" xfId="0" applyNumberFormat="1" applyFont="1" applyBorder="1" applyAlignment="1">
      <alignment horizontal="center"/>
    </xf>
    <xf numFmtId="0" fontId="41" fillId="0" borderId="8" xfId="0" applyFont="1" applyBorder="1"/>
    <xf numFmtId="44" fontId="40" fillId="0" borderId="49" xfId="0" applyNumberFormat="1" applyFont="1" applyBorder="1" applyAlignment="1">
      <alignment horizontal="center"/>
    </xf>
    <xf numFmtId="0" fontId="41" fillId="0" borderId="0" xfId="0" applyFont="1"/>
    <xf numFmtId="44" fontId="41" fillId="0" borderId="1" xfId="31" applyFont="1" applyBorder="1" applyAlignment="1">
      <alignment horizontal="center"/>
    </xf>
    <xf numFmtId="0" fontId="40" fillId="0" borderId="0" xfId="0" applyFont="1"/>
    <xf numFmtId="44" fontId="40" fillId="0" borderId="0" xfId="0" applyNumberFormat="1" applyFont="1" applyAlignment="1">
      <alignment horizontal="center"/>
    </xf>
    <xf numFmtId="0" fontId="40" fillId="0" borderId="49" xfId="0" applyFont="1" applyBorder="1"/>
    <xf numFmtId="44" fontId="40" fillId="0" borderId="3" xfId="0" applyNumberFormat="1" applyFont="1" applyBorder="1" applyAlignment="1">
      <alignment horizontal="center"/>
    </xf>
    <xf numFmtId="0" fontId="41" fillId="0" borderId="50" xfId="0" applyFont="1" applyBorder="1"/>
    <xf numFmtId="42" fontId="41" fillId="0" borderId="50" xfId="0" applyNumberFormat="1" applyFont="1" applyBorder="1" applyAlignment="1">
      <alignment horizontal="center"/>
    </xf>
    <xf numFmtId="42" fontId="41" fillId="0" borderId="0" xfId="0" applyNumberFormat="1" applyFont="1" applyAlignment="1">
      <alignment horizontal="center"/>
    </xf>
    <xf numFmtId="0" fontId="42" fillId="0" borderId="0" xfId="0" applyFont="1"/>
    <xf numFmtId="0" fontId="42" fillId="0" borderId="3" xfId="0" applyFont="1" applyBorder="1"/>
    <xf numFmtId="0" fontId="42" fillId="0" borderId="8" xfId="0" applyFont="1" applyBorder="1"/>
    <xf numFmtId="0" fontId="43" fillId="0" borderId="0" xfId="0" applyFont="1"/>
    <xf numFmtId="42" fontId="42" fillId="0" borderId="0" xfId="0" applyNumberFormat="1" applyFont="1" applyAlignment="1">
      <alignment horizontal="center"/>
    </xf>
    <xf numFmtId="0" fontId="44" fillId="0" borderId="0" xfId="0" applyFont="1"/>
    <xf numFmtId="0" fontId="40" fillId="0" borderId="0" xfId="0" applyFont="1" applyAlignment="1">
      <alignment vertical="top"/>
    </xf>
    <xf numFmtId="0" fontId="41" fillId="0" borderId="17" xfId="0" applyFont="1" applyBorder="1"/>
    <xf numFmtId="0" fontId="40" fillId="0" borderId="50" xfId="0" applyFont="1" applyBorder="1"/>
    <xf numFmtId="0" fontId="39" fillId="0" borderId="50" xfId="0" applyFont="1" applyBorder="1"/>
    <xf numFmtId="0" fontId="40" fillId="0" borderId="51" xfId="0" applyFont="1" applyBorder="1"/>
    <xf numFmtId="0" fontId="41" fillId="0" borderId="18" xfId="0" applyFont="1" applyBorder="1"/>
    <xf numFmtId="0" fontId="40" fillId="0" borderId="16" xfId="0" applyFont="1" applyBorder="1"/>
    <xf numFmtId="0" fontId="41" fillId="0" borderId="16" xfId="0" applyFont="1" applyBorder="1"/>
    <xf numFmtId="0" fontId="45" fillId="0" borderId="52" xfId="0" applyFont="1" applyBorder="1"/>
    <xf numFmtId="0" fontId="41" fillId="0" borderId="53" xfId="0" applyFont="1" applyBorder="1"/>
    <xf numFmtId="0" fontId="41" fillId="0" borderId="52" xfId="0" applyFont="1" applyBorder="1"/>
    <xf numFmtId="0" fontId="41" fillId="0" borderId="0" xfId="0" applyFont="1" applyAlignment="1">
      <alignment horizontal="right"/>
    </xf>
    <xf numFmtId="174" fontId="40" fillId="0" borderId="54" xfId="0" applyNumberFormat="1" applyFont="1" applyBorder="1" applyAlignment="1">
      <alignment horizontal="center"/>
    </xf>
    <xf numFmtId="0" fontId="45" fillId="0" borderId="53" xfId="0" applyFont="1" applyBorder="1" applyAlignment="1">
      <alignment horizontal="center"/>
    </xf>
    <xf numFmtId="44" fontId="39" fillId="0" borderId="0" xfId="0" applyNumberFormat="1" applyFont="1"/>
    <xf numFmtId="0" fontId="41" fillId="0" borderId="56" xfId="0" applyFont="1" applyBorder="1" applyAlignment="1">
      <alignment horizontal="right"/>
    </xf>
    <xf numFmtId="0" fontId="46" fillId="0" borderId="0" xfId="0" applyFont="1"/>
    <xf numFmtId="0" fontId="47" fillId="0" borderId="0" xfId="0" applyFont="1" applyAlignment="1">
      <alignment horizontal="center"/>
    </xf>
    <xf numFmtId="0" fontId="41" fillId="0" borderId="0" xfId="0" applyFont="1" applyAlignment="1">
      <alignment horizontal="center"/>
    </xf>
    <xf numFmtId="0" fontId="40" fillId="0" borderId="0" xfId="0" applyFont="1" applyAlignment="1">
      <alignment horizontal="center"/>
    </xf>
    <xf numFmtId="44" fontId="40" fillId="0" borderId="25" xfId="31" applyFont="1" applyBorder="1"/>
    <xf numFmtId="44" fontId="40" fillId="0" borderId="0" xfId="31" applyFont="1"/>
    <xf numFmtId="0" fontId="40" fillId="0" borderId="54" xfId="0" applyFont="1" applyBorder="1"/>
    <xf numFmtId="0" fontId="40" fillId="0" borderId="57" xfId="0" applyFont="1" applyBorder="1"/>
    <xf numFmtId="44" fontId="42" fillId="0" borderId="0" xfId="0" applyNumberFormat="1" applyFont="1"/>
    <xf numFmtId="0" fontId="48" fillId="0" borderId="0" xfId="0" applyFont="1"/>
    <xf numFmtId="0" fontId="49" fillId="0" borderId="0" xfId="0" applyFont="1"/>
    <xf numFmtId="0" fontId="50" fillId="0" borderId="33" xfId="0" applyFont="1" applyBorder="1"/>
    <xf numFmtId="44" fontId="50" fillId="0" borderId="33" xfId="0" applyNumberFormat="1" applyFont="1" applyBorder="1" applyAlignment="1">
      <alignment horizontal="center"/>
    </xf>
    <xf numFmtId="0" fontId="41" fillId="0" borderId="56" xfId="0" applyFont="1" applyBorder="1"/>
    <xf numFmtId="0" fontId="48" fillId="0" borderId="0" xfId="0" applyFont="1" applyAlignment="1">
      <alignment horizontal="center"/>
    </xf>
    <xf numFmtId="44" fontId="41" fillId="0" borderId="0" xfId="0" applyNumberFormat="1" applyFont="1"/>
    <xf numFmtId="3" fontId="41" fillId="0" borderId="0" xfId="0" applyNumberFormat="1" applyFont="1"/>
    <xf numFmtId="0" fontId="41" fillId="0" borderId="54" xfId="0" applyFont="1" applyBorder="1"/>
    <xf numFmtId="0" fontId="41" fillId="0" borderId="0" xfId="0" applyFont="1" applyAlignment="1">
      <alignment vertical="center"/>
    </xf>
    <xf numFmtId="0" fontId="40" fillId="0" borderId="1" xfId="0" applyFont="1" applyBorder="1" applyAlignment="1">
      <alignment horizontal="center"/>
    </xf>
    <xf numFmtId="3" fontId="40" fillId="0" borderId="1" xfId="0" applyNumberFormat="1" applyFont="1" applyBorder="1" applyAlignment="1">
      <alignment horizontal="center"/>
    </xf>
    <xf numFmtId="3" fontId="40" fillId="0" borderId="8" xfId="0" applyNumberFormat="1" applyFont="1" applyBorder="1" applyAlignment="1">
      <alignment horizontal="center"/>
    </xf>
    <xf numFmtId="1" fontId="40" fillId="0" borderId="8" xfId="0" applyNumberFormat="1" applyFont="1" applyBorder="1" applyAlignment="1">
      <alignment horizontal="center"/>
    </xf>
    <xf numFmtId="0" fontId="51" fillId="0" borderId="0" xfId="0" applyFont="1"/>
    <xf numFmtId="0" fontId="40" fillId="0" borderId="2" xfId="0" applyFont="1" applyBorder="1" applyAlignment="1">
      <alignment horizontal="center" vertical="center"/>
    </xf>
    <xf numFmtId="0" fontId="40" fillId="0" borderId="2" xfId="0" applyFont="1" applyBorder="1" applyAlignment="1">
      <alignment horizontal="center" vertical="center" wrapText="1"/>
    </xf>
    <xf numFmtId="1" fontId="41" fillId="0" borderId="1" xfId="0" applyNumberFormat="1" applyFont="1" applyBorder="1" applyAlignment="1">
      <alignment horizontal="center"/>
    </xf>
    <xf numFmtId="1" fontId="41" fillId="0" borderId="33" xfId="0" applyNumberFormat="1" applyFont="1" applyBorder="1" applyAlignment="1">
      <alignment horizontal="center"/>
    </xf>
    <xf numFmtId="0" fontId="40" fillId="0" borderId="41" xfId="0" applyFont="1" applyBorder="1" applyAlignment="1">
      <alignment horizontal="center"/>
    </xf>
    <xf numFmtId="44" fontId="40" fillId="0" borderId="41" xfId="0" applyNumberFormat="1" applyFont="1" applyBorder="1" applyAlignment="1">
      <alignment horizontal="center"/>
    </xf>
    <xf numFmtId="0" fontId="40" fillId="0" borderId="59" xfId="0" applyFont="1" applyBorder="1"/>
    <xf numFmtId="0" fontId="41" fillId="0" borderId="1" xfId="0" applyFont="1" applyBorder="1" applyAlignment="1">
      <alignment horizontal="center"/>
    </xf>
    <xf numFmtId="0" fontId="41" fillId="0" borderId="33" xfId="0" applyFont="1" applyBorder="1" applyAlignment="1">
      <alignment horizontal="center"/>
    </xf>
    <xf numFmtId="0" fontId="39" fillId="0" borderId="0" xfId="0" applyFont="1" applyAlignment="1">
      <alignment horizontal="center"/>
    </xf>
    <xf numFmtId="0" fontId="39" fillId="0" borderId="1" xfId="0" applyFont="1" applyBorder="1"/>
    <xf numFmtId="0" fontId="39" fillId="0" borderId="13" xfId="0" applyFont="1" applyBorder="1"/>
    <xf numFmtId="42" fontId="39" fillId="0" borderId="1" xfId="0" applyNumberFormat="1" applyFont="1" applyBorder="1" applyAlignment="1">
      <alignment horizontal="center"/>
    </xf>
    <xf numFmtId="0" fontId="39" fillId="0" borderId="8" xfId="0" applyFont="1" applyBorder="1"/>
    <xf numFmtId="42" fontId="39" fillId="0" borderId="0" xfId="0" applyNumberFormat="1" applyFont="1" applyAlignment="1">
      <alignment horizontal="center"/>
    </xf>
    <xf numFmtId="8" fontId="41" fillId="0" borderId="1" xfId="0" applyNumberFormat="1" applyFont="1" applyBorder="1"/>
    <xf numFmtId="0" fontId="41" fillId="0" borderId="33" xfId="0" applyFont="1" applyBorder="1"/>
    <xf numFmtId="0" fontId="42" fillId="0" borderId="0" xfId="0" applyFont="1" applyAlignment="1">
      <alignment horizontal="center"/>
    </xf>
    <xf numFmtId="0" fontId="43" fillId="0" borderId="0" xfId="0" applyFont="1" applyAlignment="1">
      <alignment horizontal="center" wrapText="1"/>
    </xf>
    <xf numFmtId="0" fontId="43" fillId="0" borderId="1" xfId="0" applyFont="1" applyBorder="1"/>
    <xf numFmtId="8" fontId="42" fillId="0" borderId="3" xfId="0" applyNumberFormat="1" applyFont="1" applyBorder="1"/>
    <xf numFmtId="164" fontId="42" fillId="0" borderId="3" xfId="0" applyNumberFormat="1" applyFont="1" applyBorder="1" applyAlignment="1">
      <alignment horizontal="center"/>
    </xf>
    <xf numFmtId="167" fontId="42" fillId="0" borderId="4" xfId="0" applyNumberFormat="1" applyFont="1" applyBorder="1" applyAlignment="1">
      <alignment horizontal="center"/>
    </xf>
    <xf numFmtId="6" fontId="42" fillId="0" borderId="47" xfId="0" applyNumberFormat="1" applyFont="1" applyBorder="1" applyAlignment="1">
      <alignment horizontal="center"/>
    </xf>
    <xf numFmtId="8" fontId="42" fillId="0" borderId="13" xfId="0" applyNumberFormat="1" applyFont="1" applyBorder="1"/>
    <xf numFmtId="164" fontId="52" fillId="0" borderId="1" xfId="0" applyNumberFormat="1" applyFont="1" applyBorder="1" applyAlignment="1">
      <alignment horizontal="center"/>
    </xf>
    <xf numFmtId="167" fontId="42" fillId="0" borderId="5" xfId="0" applyNumberFormat="1" applyFont="1" applyBorder="1" applyAlignment="1">
      <alignment horizontal="center"/>
    </xf>
    <xf numFmtId="6" fontId="42" fillId="0" borderId="3" xfId="0" applyNumberFormat="1" applyFont="1" applyBorder="1" applyAlignment="1">
      <alignment horizontal="center"/>
    </xf>
    <xf numFmtId="168" fontId="42" fillId="0" borderId="0" xfId="0" applyNumberFormat="1" applyFont="1"/>
    <xf numFmtId="6" fontId="42" fillId="0" borderId="1" xfId="0" applyNumberFormat="1" applyFont="1" applyBorder="1" applyAlignment="1">
      <alignment horizontal="center"/>
    </xf>
    <xf numFmtId="8" fontId="52" fillId="0" borderId="1" xfId="0" applyNumberFormat="1" applyFont="1" applyBorder="1" applyAlignment="1">
      <alignment horizontal="center"/>
    </xf>
    <xf numFmtId="6" fontId="52" fillId="0" borderId="1" xfId="0" applyNumberFormat="1" applyFont="1" applyBorder="1" applyAlignment="1">
      <alignment horizontal="center"/>
    </xf>
    <xf numFmtId="0" fontId="42" fillId="0" borderId="13" xfId="0" applyFont="1" applyBorder="1"/>
    <xf numFmtId="167" fontId="42" fillId="0" borderId="3" xfId="0" applyNumberFormat="1" applyFont="1" applyBorder="1"/>
    <xf numFmtId="8" fontId="42" fillId="0" borderId="57" xfId="0" applyNumberFormat="1" applyFont="1" applyBorder="1"/>
    <xf numFmtId="164" fontId="42" fillId="0" borderId="57" xfId="0" applyNumberFormat="1" applyFont="1" applyBorder="1" applyAlignment="1">
      <alignment horizontal="center"/>
    </xf>
    <xf numFmtId="167" fontId="42" fillId="0" borderId="57" xfId="0" applyNumberFormat="1" applyFont="1" applyBorder="1" applyAlignment="1">
      <alignment horizontal="center"/>
    </xf>
    <xf numFmtId="167" fontId="42" fillId="0" borderId="1" xfId="0" applyNumberFormat="1" applyFont="1" applyBorder="1" applyAlignment="1">
      <alignment horizontal="center"/>
    </xf>
    <xf numFmtId="167" fontId="42" fillId="0" borderId="1" xfId="0" applyNumberFormat="1" applyFont="1" applyBorder="1"/>
    <xf numFmtId="164" fontId="42" fillId="0" borderId="1" xfId="0" applyNumberFormat="1" applyFont="1" applyBorder="1" applyAlignment="1">
      <alignment horizontal="center"/>
    </xf>
    <xf numFmtId="43" fontId="42" fillId="0" borderId="0" xfId="0" applyNumberFormat="1" applyFont="1"/>
    <xf numFmtId="8" fontId="42" fillId="0" borderId="1" xfId="0" applyNumberFormat="1" applyFont="1" applyBorder="1"/>
    <xf numFmtId="8" fontId="42" fillId="0" borderId="8" xfId="0" applyNumberFormat="1" applyFont="1" applyBorder="1"/>
    <xf numFmtId="167" fontId="42" fillId="0" borderId="8" xfId="0" applyNumberFormat="1" applyFont="1" applyBorder="1" applyAlignment="1">
      <alignment horizontal="center"/>
    </xf>
    <xf numFmtId="6" fontId="42" fillId="0" borderId="8" xfId="0" applyNumberFormat="1" applyFont="1" applyBorder="1" applyAlignment="1">
      <alignment horizontal="center"/>
    </xf>
    <xf numFmtId="0" fontId="42" fillId="0" borderId="33" xfId="0" applyFont="1" applyBorder="1"/>
    <xf numFmtId="8" fontId="42" fillId="0" borderId="33" xfId="0" applyNumberFormat="1" applyFont="1" applyBorder="1"/>
    <xf numFmtId="8" fontId="42" fillId="0" borderId="33" xfId="0" applyNumberFormat="1" applyFont="1" applyBorder="1" applyAlignment="1">
      <alignment horizontal="center"/>
    </xf>
    <xf numFmtId="42" fontId="42" fillId="0" borderId="33" xfId="0" applyNumberFormat="1" applyFont="1" applyBorder="1" applyAlignment="1">
      <alignment horizontal="center"/>
    </xf>
    <xf numFmtId="0" fontId="42" fillId="0" borderId="60" xfId="0" applyFont="1" applyBorder="1"/>
    <xf numFmtId="8" fontId="42" fillId="0" borderId="0" xfId="0" applyNumberFormat="1" applyFont="1"/>
    <xf numFmtId="164" fontId="42" fillId="0" borderId="0" xfId="0" applyNumberFormat="1" applyFont="1" applyAlignment="1">
      <alignment horizontal="center"/>
    </xf>
    <xf numFmtId="167" fontId="42" fillId="0" borderId="61" xfId="0" applyNumberFormat="1" applyFont="1" applyBorder="1" applyAlignment="1">
      <alignment horizontal="center"/>
    </xf>
    <xf numFmtId="8" fontId="43" fillId="0" borderId="0" xfId="0" applyNumberFormat="1" applyFont="1" applyAlignment="1">
      <alignment horizontal="center"/>
    </xf>
    <xf numFmtId="8" fontId="42" fillId="0" borderId="0" xfId="0" applyNumberFormat="1" applyFont="1" applyAlignment="1">
      <alignment horizontal="center"/>
    </xf>
    <xf numFmtId="6" fontId="43" fillId="0" borderId="0" xfId="0" applyNumberFormat="1" applyFont="1" applyAlignment="1">
      <alignment horizontal="center"/>
    </xf>
    <xf numFmtId="6" fontId="42" fillId="0" borderId="0" xfId="0" applyNumberFormat="1" applyFont="1"/>
    <xf numFmtId="14" fontId="42" fillId="0" borderId="0" xfId="0" applyNumberFormat="1" applyFont="1" applyAlignment="1">
      <alignment horizontal="center"/>
    </xf>
    <xf numFmtId="44" fontId="39" fillId="0" borderId="0" xfId="31" applyFont="1"/>
    <xf numFmtId="44" fontId="40" fillId="0" borderId="1" xfId="0" applyNumberFormat="1" applyFont="1" applyBorder="1" applyAlignment="1">
      <alignment horizontal="center"/>
    </xf>
    <xf numFmtId="44" fontId="41" fillId="0" borderId="1" xfId="0" applyNumberFormat="1" applyFont="1" applyBorder="1" applyAlignment="1">
      <alignment horizontal="left"/>
    </xf>
    <xf numFmtId="0" fontId="39" fillId="0" borderId="0" xfId="0" applyFont="1" applyAlignment="1">
      <alignment horizontal="left"/>
    </xf>
    <xf numFmtId="1" fontId="41" fillId="0" borderId="8" xfId="0" applyNumberFormat="1" applyFont="1" applyBorder="1" applyAlignment="1">
      <alignment horizontal="center"/>
    </xf>
    <xf numFmtId="44" fontId="40" fillId="0" borderId="8" xfId="0" applyNumberFormat="1" applyFont="1" applyBorder="1" applyAlignment="1">
      <alignment horizontal="center"/>
    </xf>
    <xf numFmtId="44" fontId="41" fillId="0" borderId="8" xfId="0" applyNumberFormat="1" applyFont="1" applyBorder="1" applyAlignment="1">
      <alignment horizontal="center"/>
    </xf>
    <xf numFmtId="1" fontId="41" fillId="0" borderId="33" xfId="0" applyNumberFormat="1" applyFont="1" applyBorder="1"/>
    <xf numFmtId="44" fontId="41" fillId="0" borderId="33" xfId="0" applyNumberFormat="1" applyFont="1" applyBorder="1" applyAlignment="1">
      <alignment horizontal="center"/>
    </xf>
    <xf numFmtId="0" fontId="47" fillId="0" borderId="0" xfId="0" applyFont="1"/>
    <xf numFmtId="0" fontId="50" fillId="0" borderId="58" xfId="0" applyFont="1" applyBorder="1" applyAlignment="1">
      <alignment horizontal="right"/>
    </xf>
    <xf numFmtId="8" fontId="48" fillId="0" borderId="58" xfId="0" applyNumberFormat="1" applyFont="1" applyBorder="1"/>
    <xf numFmtId="1" fontId="50" fillId="0" borderId="58" xfId="0" applyNumberFormat="1" applyFont="1" applyBorder="1" applyAlignment="1">
      <alignment horizontal="center"/>
    </xf>
    <xf numFmtId="44" fontId="43" fillId="0" borderId="1" xfId="31" applyFont="1" applyBorder="1" applyAlignment="1">
      <alignment horizontal="center"/>
    </xf>
    <xf numFmtId="0" fontId="44" fillId="0" borderId="62" xfId="0" applyFont="1" applyBorder="1"/>
    <xf numFmtId="0" fontId="44" fillId="0" borderId="0" xfId="0" applyFont="1" applyAlignment="1">
      <alignment horizontal="center" vertical="center"/>
    </xf>
    <xf numFmtId="0" fontId="44" fillId="0" borderId="0" xfId="0" applyFont="1" applyAlignment="1">
      <alignment vertical="center"/>
    </xf>
    <xf numFmtId="0" fontId="53" fillId="0" borderId="2" xfId="0" applyFont="1" applyBorder="1" applyAlignment="1">
      <alignment horizontal="center" vertical="center"/>
    </xf>
    <xf numFmtId="0" fontId="53" fillId="0" borderId="2" xfId="0" applyFont="1" applyBorder="1" applyAlignment="1">
      <alignment horizontal="center" vertical="center" wrapText="1"/>
    </xf>
    <xf numFmtId="0" fontId="50" fillId="0" borderId="2" xfId="0" applyFont="1" applyBorder="1" applyAlignment="1">
      <alignment horizontal="center" vertical="center"/>
    </xf>
    <xf numFmtId="0" fontId="50" fillId="0" borderId="2" xfId="0" applyFont="1" applyBorder="1" applyAlignment="1">
      <alignment horizontal="center" vertical="center" wrapText="1"/>
    </xf>
    <xf numFmtId="0" fontId="50" fillId="0" borderId="2" xfId="47" applyFont="1" applyBorder="1" applyAlignment="1">
      <alignment horizontal="center" vertical="center" wrapText="1"/>
    </xf>
    <xf numFmtId="43" fontId="39" fillId="0" borderId="0" xfId="28" applyFont="1"/>
    <xf numFmtId="0" fontId="54" fillId="0" borderId="2" xfId="0" applyFont="1" applyBorder="1" applyAlignment="1">
      <alignment horizontal="center" vertical="center"/>
    </xf>
    <xf numFmtId="0" fontId="39" fillId="0" borderId="57" xfId="0" applyFont="1" applyBorder="1"/>
    <xf numFmtId="0" fontId="55" fillId="0" borderId="0" xfId="0" applyFont="1"/>
    <xf numFmtId="0" fontId="50" fillId="0" borderId="0" xfId="0" applyFont="1"/>
    <xf numFmtId="0" fontId="53" fillId="0" borderId="0" xfId="0" applyFont="1"/>
    <xf numFmtId="0" fontId="40" fillId="0" borderId="58" xfId="0" applyFont="1" applyBorder="1" applyAlignment="1">
      <alignment horizontal="center" vertical="center"/>
    </xf>
    <xf numFmtId="0" fontId="40" fillId="0" borderId="58" xfId="0" applyFont="1" applyBorder="1" applyAlignment="1">
      <alignment horizontal="center" vertical="center" wrapText="1"/>
    </xf>
    <xf numFmtId="0" fontId="41" fillId="0" borderId="1" xfId="0" applyFont="1" applyBorder="1" applyAlignment="1">
      <alignment vertical="center"/>
    </xf>
    <xf numFmtId="0" fontId="56" fillId="0" borderId="1" xfId="0" applyFont="1" applyBorder="1" applyAlignment="1">
      <alignment horizontal="center" vertical="center" wrapText="1"/>
    </xf>
    <xf numFmtId="44" fontId="40" fillId="0" borderId="1" xfId="31" applyFont="1" applyBorder="1" applyAlignment="1">
      <alignment horizontal="right" vertical="center"/>
    </xf>
    <xf numFmtId="172" fontId="41" fillId="0" borderId="1" xfId="0" applyNumberFormat="1" applyFont="1" applyBorder="1" applyAlignment="1">
      <alignment horizontal="center" vertical="center"/>
    </xf>
    <xf numFmtId="44" fontId="41" fillId="0" borderId="1" xfId="31" applyFont="1" applyBorder="1" applyAlignment="1">
      <alignment horizontal="right" vertical="center"/>
    </xf>
    <xf numFmtId="0" fontId="57" fillId="0" borderId="72" xfId="0" applyFont="1" applyBorder="1" applyAlignment="1">
      <alignment horizontal="left" vertical="center"/>
    </xf>
    <xf numFmtId="0" fontId="57" fillId="0" borderId="67" xfId="0" applyFont="1" applyBorder="1" applyAlignment="1">
      <alignment horizontal="left" vertical="center"/>
    </xf>
    <xf numFmtId="44" fontId="58" fillId="0" borderId="67" xfId="0" applyNumberFormat="1" applyFont="1" applyBorder="1" applyAlignment="1">
      <alignment horizontal="center" vertical="center"/>
    </xf>
    <xf numFmtId="0" fontId="58" fillId="0" borderId="67" xfId="0" applyFont="1" applyBorder="1" applyAlignment="1">
      <alignment vertical="center"/>
    </xf>
    <xf numFmtId="0" fontId="58" fillId="0" borderId="0" xfId="0" applyFont="1"/>
    <xf numFmtId="0" fontId="50" fillId="0" borderId="0" xfId="0" applyFont="1" applyAlignment="1">
      <alignment horizontal="center"/>
    </xf>
    <xf numFmtId="170" fontId="40" fillId="0" borderId="0" xfId="0" applyNumberFormat="1" applyFont="1"/>
    <xf numFmtId="0" fontId="50" fillId="0" borderId="5" xfId="0" applyFont="1" applyBorder="1" applyAlignment="1">
      <alignment horizontal="center" vertical="center"/>
    </xf>
    <xf numFmtId="0" fontId="50" fillId="0" borderId="1" xfId="0" applyFont="1" applyBorder="1" applyAlignment="1">
      <alignment horizontal="center" vertical="center"/>
    </xf>
    <xf numFmtId="0" fontId="50" fillId="0" borderId="1" xfId="0" applyFont="1" applyBorder="1" applyAlignment="1">
      <alignment horizontal="center" vertical="center" wrapText="1"/>
    </xf>
    <xf numFmtId="0" fontId="39" fillId="0" borderId="0" xfId="0" applyFont="1" applyAlignment="1">
      <alignment horizontal="center" vertical="center"/>
    </xf>
    <xf numFmtId="0" fontId="40" fillId="0" borderId="73" xfId="0" applyFont="1" applyBorder="1" applyAlignment="1">
      <alignment horizontal="center" vertical="center"/>
    </xf>
    <xf numFmtId="171" fontId="39" fillId="0" borderId="1" xfId="0" applyNumberFormat="1" applyFont="1" applyBorder="1" applyAlignment="1">
      <alignment horizontal="right"/>
    </xf>
    <xf numFmtId="171" fontId="59" fillId="0" borderId="1" xfId="0" applyNumberFormat="1" applyFont="1" applyBorder="1" applyAlignment="1">
      <alignment horizontal="right"/>
    </xf>
    <xf numFmtId="0" fontId="54" fillId="0" borderId="2" xfId="0" applyFont="1" applyBorder="1" applyAlignment="1">
      <alignment horizontal="left"/>
    </xf>
    <xf numFmtId="42" fontId="47" fillId="0" borderId="0" xfId="0" applyNumberFormat="1" applyFont="1" applyAlignment="1">
      <alignment horizontal="center"/>
    </xf>
    <xf numFmtId="42" fontId="40" fillId="0" borderId="0" xfId="0" applyNumberFormat="1" applyFont="1" applyAlignment="1">
      <alignment horizontal="center"/>
    </xf>
    <xf numFmtId="171" fontId="54" fillId="0" borderId="2" xfId="0" applyNumberFormat="1" applyFont="1" applyBorder="1" applyAlignment="1">
      <alignment horizontal="right"/>
    </xf>
    <xf numFmtId="0" fontId="54" fillId="0" borderId="2" xfId="0" applyFont="1" applyBorder="1" applyAlignment="1">
      <alignment horizontal="center" vertical="center" wrapText="1"/>
    </xf>
    <xf numFmtId="42" fontId="54" fillId="0" borderId="2" xfId="0" applyNumberFormat="1" applyFont="1" applyBorder="1" applyAlignment="1">
      <alignment horizontal="center" vertical="center" wrapText="1"/>
    </xf>
    <xf numFmtId="0" fontId="46" fillId="0" borderId="0" xfId="0" applyFont="1" applyAlignment="1">
      <alignment vertical="center"/>
    </xf>
    <xf numFmtId="42" fontId="39" fillId="0" borderId="67" xfId="0" applyNumberFormat="1" applyFont="1" applyBorder="1" applyAlignment="1">
      <alignment horizontal="left" vertical="center"/>
    </xf>
    <xf numFmtId="42" fontId="39" fillId="0" borderId="62" xfId="0" applyNumberFormat="1" applyFont="1" applyBorder="1" applyAlignment="1">
      <alignment horizontal="center" vertical="center"/>
    </xf>
    <xf numFmtId="170" fontId="47" fillId="0" borderId="41" xfId="0" applyNumberFormat="1" applyFont="1" applyBorder="1" applyAlignment="1">
      <alignment horizontal="center" vertical="center"/>
    </xf>
    <xf numFmtId="0" fontId="39" fillId="0" borderId="0" xfId="0" applyFont="1" applyAlignment="1">
      <alignment vertical="center"/>
    </xf>
    <xf numFmtId="0" fontId="39" fillId="0" borderId="1" xfId="0" applyFont="1" applyBorder="1" applyAlignment="1">
      <alignment horizontal="center"/>
    </xf>
    <xf numFmtId="44" fontId="39" fillId="0" borderId="1" xfId="0" applyNumberFormat="1" applyFont="1" applyBorder="1"/>
    <xf numFmtId="0" fontId="54" fillId="0" borderId="0" xfId="0" applyFont="1"/>
    <xf numFmtId="42" fontId="41" fillId="0" borderId="1" xfId="0" applyNumberFormat="1" applyFont="1" applyBorder="1"/>
    <xf numFmtId="44" fontId="41" fillId="0" borderId="1" xfId="0" applyNumberFormat="1" applyFont="1" applyBorder="1"/>
    <xf numFmtId="49" fontId="41" fillId="0" borderId="1" xfId="0" applyNumberFormat="1" applyFont="1" applyBorder="1" applyAlignment="1">
      <alignment horizontal="center"/>
    </xf>
    <xf numFmtId="0" fontId="50" fillId="0" borderId="2" xfId="0" applyFont="1" applyBorder="1" applyAlignment="1">
      <alignment horizontal="center"/>
    </xf>
    <xf numFmtId="42" fontId="50" fillId="0" borderId="2" xfId="0" applyNumberFormat="1" applyFont="1" applyBorder="1" applyAlignment="1">
      <alignment horizontal="center"/>
    </xf>
    <xf numFmtId="44" fontId="50" fillId="0" borderId="2" xfId="0" applyNumberFormat="1" applyFont="1" applyBorder="1"/>
    <xf numFmtId="44" fontId="50" fillId="0" borderId="0" xfId="0" applyNumberFormat="1" applyFont="1"/>
    <xf numFmtId="42" fontId="41" fillId="0" borderId="0" xfId="0" applyNumberFormat="1" applyFont="1"/>
    <xf numFmtId="8" fontId="41" fillId="0" borderId="0" xfId="0" applyNumberFormat="1" applyFont="1" applyAlignment="1">
      <alignment horizontal="center"/>
    </xf>
    <xf numFmtId="44" fontId="50" fillId="0" borderId="2" xfId="31" applyFont="1" applyBorder="1" applyAlignment="1">
      <alignment horizontal="center" vertical="center" wrapText="1"/>
    </xf>
    <xf numFmtId="44" fontId="40" fillId="0" borderId="1" xfId="31" applyFont="1" applyBorder="1" applyAlignment="1">
      <alignment horizontal="center"/>
    </xf>
    <xf numFmtId="44" fontId="50" fillId="0" borderId="2" xfId="31" applyFont="1" applyBorder="1" applyAlignment="1">
      <alignment horizontal="center"/>
    </xf>
    <xf numFmtId="44" fontId="50" fillId="0" borderId="2" xfId="0" applyNumberFormat="1" applyFont="1" applyBorder="1" applyAlignment="1">
      <alignment horizontal="center"/>
    </xf>
    <xf numFmtId="0" fontId="47" fillId="0" borderId="74" xfId="0" applyFont="1" applyBorder="1"/>
    <xf numFmtId="0" fontId="47" fillId="0" borderId="57" xfId="0" applyFont="1" applyBorder="1"/>
    <xf numFmtId="0" fontId="47" fillId="0" borderId="57" xfId="0" applyFont="1" applyBorder="1" applyAlignment="1">
      <alignment horizontal="center"/>
    </xf>
    <xf numFmtId="0" fontId="47" fillId="0" borderId="13" xfId="0" applyFont="1" applyBorder="1" applyAlignment="1">
      <alignment horizontal="center"/>
    </xf>
    <xf numFmtId="0" fontId="47" fillId="0" borderId="1" xfId="0" applyFont="1" applyBorder="1" applyAlignment="1">
      <alignment horizontal="center"/>
    </xf>
    <xf numFmtId="0" fontId="47" fillId="0" borderId="1" xfId="0" applyFont="1" applyBorder="1" applyAlignment="1">
      <alignment horizontal="center" wrapText="1"/>
    </xf>
    <xf numFmtId="0" fontId="47" fillId="0" borderId="75" xfId="0" applyFont="1" applyBorder="1" applyAlignment="1">
      <alignment horizontal="center" wrapText="1"/>
    </xf>
    <xf numFmtId="10" fontId="47" fillId="0" borderId="1" xfId="0" applyNumberFormat="1" applyFont="1" applyBorder="1" applyAlignment="1">
      <alignment horizontal="center" wrapText="1"/>
    </xf>
    <xf numFmtId="172" fontId="39" fillId="0" borderId="1" xfId="0" applyNumberFormat="1" applyFont="1" applyBorder="1" applyAlignment="1">
      <alignment horizontal="center"/>
    </xf>
    <xf numFmtId="44" fontId="39" fillId="0" borderId="3" xfId="31" applyFont="1" applyBorder="1" applyAlignment="1">
      <alignment horizontal="center"/>
    </xf>
    <xf numFmtId="0" fontId="39" fillId="0" borderId="52" xfId="0" applyFont="1" applyBorder="1"/>
    <xf numFmtId="0" fontId="39" fillId="0" borderId="74" xfId="0" applyFont="1" applyBorder="1"/>
    <xf numFmtId="0" fontId="47" fillId="0" borderId="57" xfId="0" applyFont="1" applyBorder="1" applyAlignment="1">
      <alignment horizontal="left"/>
    </xf>
    <xf numFmtId="167" fontId="39" fillId="0" borderId="1" xfId="0" applyNumberFormat="1" applyFont="1" applyBorder="1" applyAlignment="1">
      <alignment horizontal="center"/>
    </xf>
    <xf numFmtId="167" fontId="39" fillId="0" borderId="75" xfId="0" applyNumberFormat="1" applyFont="1" applyBorder="1" applyAlignment="1">
      <alignment horizontal="center"/>
    </xf>
    <xf numFmtId="0" fontId="47" fillId="0" borderId="13" xfId="0" applyFont="1" applyBorder="1"/>
    <xf numFmtId="10" fontId="39" fillId="0" borderId="1" xfId="0" applyNumberFormat="1" applyFont="1" applyBorder="1" applyAlignment="1">
      <alignment horizontal="center"/>
    </xf>
    <xf numFmtId="44" fontId="39" fillId="0" borderId="1" xfId="31" applyFont="1" applyBorder="1" applyAlignment="1">
      <alignment horizontal="center"/>
    </xf>
    <xf numFmtId="40" fontId="59" fillId="0" borderId="1" xfId="0" applyNumberFormat="1" applyFont="1" applyBorder="1" applyAlignment="1">
      <alignment horizontal="right"/>
    </xf>
    <xf numFmtId="0" fontId="39" fillId="0" borderId="1" xfId="0" applyFont="1" applyBorder="1" applyAlignment="1">
      <alignment horizontal="center" wrapText="1"/>
    </xf>
    <xf numFmtId="42" fontId="39" fillId="0" borderId="75" xfId="0" applyNumberFormat="1" applyFont="1" applyBorder="1" applyAlignment="1">
      <alignment horizontal="center"/>
    </xf>
    <xf numFmtId="43" fontId="39" fillId="0" borderId="1" xfId="28" applyFont="1" applyBorder="1"/>
    <xf numFmtId="0" fontId="39" fillId="0" borderId="1" xfId="0" quotePrefix="1" applyFont="1" applyBorder="1" applyAlignment="1">
      <alignment horizontal="center"/>
    </xf>
    <xf numFmtId="42" fontId="47" fillId="0" borderId="33" xfId="0" applyNumberFormat="1" applyFont="1" applyBorder="1" applyAlignment="1">
      <alignment horizontal="center"/>
    </xf>
    <xf numFmtId="42" fontId="39" fillId="0" borderId="77" xfId="0" applyNumberFormat="1" applyFont="1" applyBorder="1" applyAlignment="1">
      <alignment horizontal="center"/>
    </xf>
    <xf numFmtId="0" fontId="47" fillId="0" borderId="50" xfId="0" applyFont="1" applyBorder="1" applyAlignment="1">
      <alignment horizontal="center"/>
    </xf>
    <xf numFmtId="167" fontId="47" fillId="0" borderId="50" xfId="0" applyNumberFormat="1" applyFont="1" applyBorder="1" applyAlignment="1">
      <alignment horizontal="center"/>
    </xf>
    <xf numFmtId="42" fontId="47" fillId="0" borderId="50" xfId="0" applyNumberFormat="1" applyFont="1" applyBorder="1" applyAlignment="1">
      <alignment horizontal="center"/>
    </xf>
    <xf numFmtId="42" fontId="39" fillId="0" borderId="50" xfId="0" applyNumberFormat="1" applyFont="1" applyBorder="1" applyAlignment="1">
      <alignment horizontal="center"/>
    </xf>
    <xf numFmtId="43" fontId="60" fillId="0" borderId="0" xfId="28" applyFont="1" applyAlignment="1">
      <alignment horizontal="center"/>
    </xf>
    <xf numFmtId="167" fontId="60" fillId="0" borderId="0" xfId="0" applyNumberFormat="1" applyFont="1" applyAlignment="1">
      <alignment horizontal="center"/>
    </xf>
    <xf numFmtId="167" fontId="39" fillId="0" borderId="0" xfId="0" applyNumberFormat="1" applyFont="1"/>
    <xf numFmtId="0" fontId="47" fillId="0" borderId="54" xfId="0" applyFont="1" applyBorder="1"/>
    <xf numFmtId="0" fontId="47" fillId="0" borderId="54" xfId="0" applyFont="1" applyBorder="1" applyAlignment="1">
      <alignment horizontal="center"/>
    </xf>
    <xf numFmtId="0" fontId="47" fillId="0" borderId="12" xfId="0" applyFont="1" applyBorder="1" applyAlignment="1">
      <alignment horizontal="center"/>
    </xf>
    <xf numFmtId="0" fontId="47" fillId="0" borderId="3" xfId="0" applyFont="1" applyBorder="1" applyAlignment="1">
      <alignment horizontal="center"/>
    </xf>
    <xf numFmtId="0" fontId="47" fillId="0" borderId="3" xfId="0" applyFont="1" applyBorder="1" applyAlignment="1">
      <alignment horizontal="center" wrapText="1"/>
    </xf>
    <xf numFmtId="0" fontId="54" fillId="0" borderId="14" xfId="0" applyFont="1" applyBorder="1" applyAlignment="1">
      <alignment horizontal="center" vertical="center"/>
    </xf>
    <xf numFmtId="0" fontId="61" fillId="0" borderId="6" xfId="0" applyFont="1" applyBorder="1" applyAlignment="1">
      <alignment horizontal="center" vertical="center"/>
    </xf>
    <xf numFmtId="0" fontId="61" fillId="0" borderId="6" xfId="0" applyFont="1" applyBorder="1" applyAlignment="1">
      <alignment horizontal="center" vertical="center" wrapText="1"/>
    </xf>
    <xf numFmtId="0" fontId="61" fillId="0" borderId="36" xfId="0" applyFont="1" applyBorder="1" applyAlignment="1">
      <alignment horizontal="center" vertical="center" wrapText="1"/>
    </xf>
    <xf numFmtId="10" fontId="47" fillId="0" borderId="4" xfId="0" applyNumberFormat="1" applyFont="1" applyBorder="1" applyAlignment="1">
      <alignment horizontal="center" wrapText="1"/>
    </xf>
    <xf numFmtId="0" fontId="47" fillId="0" borderId="79" xfId="0" applyFont="1" applyBorder="1" applyAlignment="1">
      <alignment horizontal="center" wrapText="1"/>
    </xf>
    <xf numFmtId="0" fontId="54" fillId="0" borderId="69" xfId="0" applyFont="1" applyBorder="1" applyAlignment="1">
      <alignment horizontal="center"/>
    </xf>
    <xf numFmtId="0" fontId="54" fillId="0" borderId="15" xfId="0" applyFont="1" applyBorder="1" applyAlignment="1">
      <alignment horizontal="center"/>
    </xf>
    <xf numFmtId="0" fontId="54" fillId="0" borderId="33" xfId="0" applyFont="1" applyBorder="1" applyAlignment="1">
      <alignment horizontal="center"/>
    </xf>
    <xf numFmtId="0" fontId="54" fillId="0" borderId="69" xfId="0" applyFont="1" applyBorder="1"/>
    <xf numFmtId="0" fontId="54" fillId="0" borderId="62" xfId="0" applyFont="1" applyBorder="1" applyAlignment="1">
      <alignment horizontal="left"/>
    </xf>
    <xf numFmtId="0" fontId="54" fillId="0" borderId="41" xfId="0" applyFont="1" applyBorder="1" applyAlignment="1">
      <alignment horizontal="center"/>
    </xf>
    <xf numFmtId="167" fontId="54" fillId="0" borderId="41" xfId="0" applyNumberFormat="1" applyFont="1" applyBorder="1" applyAlignment="1">
      <alignment horizontal="center"/>
    </xf>
    <xf numFmtId="10" fontId="54" fillId="0" borderId="41" xfId="0" applyNumberFormat="1" applyFont="1" applyBorder="1" applyAlignment="1">
      <alignment horizontal="center"/>
    </xf>
    <xf numFmtId="43" fontId="54" fillId="0" borderId="41" xfId="28" applyFont="1" applyBorder="1" applyAlignment="1">
      <alignment horizontal="center"/>
    </xf>
    <xf numFmtId="167" fontId="46" fillId="0" borderId="0" xfId="0" applyNumberFormat="1" applyFont="1"/>
    <xf numFmtId="0" fontId="55" fillId="0" borderId="6" xfId="0" applyFont="1" applyBorder="1" applyAlignment="1">
      <alignment horizontal="center" vertical="center" wrapText="1"/>
    </xf>
    <xf numFmtId="0" fontId="40" fillId="0" borderId="0" xfId="0" applyFont="1" applyAlignment="1">
      <alignment vertical="center"/>
    </xf>
    <xf numFmtId="44" fontId="39" fillId="0" borderId="1" xfId="31" applyFont="1" applyBorder="1"/>
    <xf numFmtId="173" fontId="39" fillId="0" borderId="75" xfId="31" applyNumberFormat="1" applyFont="1" applyBorder="1"/>
    <xf numFmtId="0" fontId="62" fillId="0" borderId="13" xfId="0" applyFont="1" applyBorder="1"/>
    <xf numFmtId="44" fontId="47" fillId="0" borderId="1" xfId="31" applyFont="1" applyBorder="1"/>
    <xf numFmtId="44" fontId="39" fillId="0" borderId="75" xfId="31" applyFont="1" applyBorder="1"/>
    <xf numFmtId="44" fontId="39" fillId="0" borderId="8" xfId="31" applyFont="1" applyBorder="1"/>
    <xf numFmtId="44" fontId="47" fillId="0" borderId="48" xfId="31" applyFont="1" applyBorder="1"/>
    <xf numFmtId="3" fontId="39" fillId="0" borderId="47" xfId="0" applyNumberFormat="1" applyFont="1" applyBorder="1" applyAlignment="1">
      <alignment horizontal="right"/>
    </xf>
    <xf numFmtId="44" fontId="39" fillId="0" borderId="13" xfId="0" applyNumberFormat="1" applyFont="1" applyBorder="1"/>
    <xf numFmtId="44" fontId="39" fillId="0" borderId="1" xfId="31" applyFont="1" applyBorder="1" applyAlignment="1">
      <alignment horizontal="right"/>
    </xf>
    <xf numFmtId="44" fontId="39" fillId="0" borderId="1" xfId="0" applyNumberFormat="1" applyFont="1" applyBorder="1" applyAlignment="1">
      <alignment horizontal="right"/>
    </xf>
    <xf numFmtId="3" fontId="39" fillId="0" borderId="1" xfId="0" applyNumberFormat="1" applyFont="1" applyBorder="1" applyAlignment="1">
      <alignment horizontal="right"/>
    </xf>
    <xf numFmtId="3" fontId="39" fillId="0" borderId="1" xfId="0" applyNumberFormat="1" applyFont="1" applyBorder="1"/>
    <xf numFmtId="44" fontId="39" fillId="0" borderId="3" xfId="31" applyFont="1" applyBorder="1" applyAlignment="1">
      <alignment horizontal="right"/>
    </xf>
    <xf numFmtId="3" fontId="39" fillId="0" borderId="8" xfId="0" applyNumberFormat="1" applyFont="1" applyBorder="1"/>
    <xf numFmtId="44" fontId="39" fillId="0" borderId="8" xfId="0" applyNumberFormat="1" applyFont="1" applyBorder="1"/>
    <xf numFmtId="0" fontId="56" fillId="0" borderId="0" xfId="0" applyFont="1"/>
    <xf numFmtId="0" fontId="47" fillId="0" borderId="6" xfId="0" applyFont="1" applyBorder="1" applyAlignment="1">
      <alignment horizontal="center" vertical="center" wrapText="1"/>
    </xf>
    <xf numFmtId="0" fontId="47" fillId="0" borderId="36" xfId="0" applyFont="1" applyBorder="1" applyAlignment="1">
      <alignment horizontal="center" vertical="center" wrapText="1"/>
    </xf>
    <xf numFmtId="0" fontId="39" fillId="0" borderId="0" xfId="0" applyFont="1" applyAlignment="1">
      <alignment horizontal="center" vertical="center" wrapText="1"/>
    </xf>
    <xf numFmtId="0" fontId="40" fillId="0" borderId="7" xfId="0" applyFont="1" applyBorder="1"/>
    <xf numFmtId="0" fontId="41" fillId="0" borderId="21" xfId="0" applyFont="1" applyBorder="1" applyAlignment="1">
      <alignment horizontal="left"/>
    </xf>
    <xf numFmtId="3" fontId="41" fillId="0" borderId="29" xfId="0" applyNumberFormat="1" applyFont="1" applyBorder="1" applyAlignment="1">
      <alignment horizontal="center"/>
    </xf>
    <xf numFmtId="3" fontId="40" fillId="0" borderId="29" xfId="0" applyNumberFormat="1" applyFont="1" applyBorder="1" applyAlignment="1">
      <alignment horizontal="center"/>
    </xf>
    <xf numFmtId="17" fontId="41" fillId="0" borderId="22" xfId="0" applyNumberFormat="1" applyFont="1" applyBorder="1" applyAlignment="1">
      <alignment horizontal="left"/>
    </xf>
    <xf numFmtId="17" fontId="41" fillId="0" borderId="23" xfId="0" applyNumberFormat="1" applyFont="1" applyBorder="1" applyAlignment="1">
      <alignment horizontal="left"/>
    </xf>
    <xf numFmtId="17" fontId="42" fillId="0" borderId="23" xfId="0" applyNumberFormat="1" applyFont="1" applyBorder="1" applyAlignment="1">
      <alignment horizontal="left"/>
    </xf>
    <xf numFmtId="3" fontId="41" fillId="0" borderId="3" xfId="0" applyNumberFormat="1" applyFont="1" applyBorder="1" applyAlignment="1">
      <alignment horizontal="center"/>
    </xf>
    <xf numFmtId="0" fontId="40" fillId="0" borderId="18" xfId="0" applyFont="1" applyBorder="1" applyAlignment="1">
      <alignment horizontal="center" vertical="center"/>
    </xf>
    <xf numFmtId="0" fontId="43" fillId="0" borderId="7" xfId="0" applyFont="1" applyBorder="1" applyAlignment="1">
      <alignment horizontal="center" wrapText="1"/>
    </xf>
    <xf numFmtId="0" fontId="42" fillId="0" borderId="39" xfId="0" applyFont="1" applyBorder="1"/>
    <xf numFmtId="17" fontId="43" fillId="0" borderId="20" xfId="0" applyNumberFormat="1" applyFont="1" applyBorder="1" applyAlignment="1">
      <alignment horizontal="center"/>
    </xf>
    <xf numFmtId="3" fontId="42" fillId="0" borderId="29" xfId="0" applyNumberFormat="1" applyFont="1" applyBorder="1" applyAlignment="1">
      <alignment horizontal="center"/>
    </xf>
    <xf numFmtId="3" fontId="43" fillId="0" borderId="30" xfId="0" applyNumberFormat="1" applyFont="1" applyBorder="1" applyAlignment="1">
      <alignment horizontal="center"/>
    </xf>
    <xf numFmtId="17" fontId="42" fillId="0" borderId="0" xfId="0" applyNumberFormat="1" applyFont="1" applyAlignment="1">
      <alignment horizontal="left"/>
    </xf>
    <xf numFmtId="3" fontId="42" fillId="0" borderId="3" xfId="0" applyNumberFormat="1" applyFont="1" applyBorder="1" applyAlignment="1">
      <alignment horizontal="center"/>
    </xf>
    <xf numFmtId="38" fontId="5" fillId="0" borderId="0" xfId="0" applyNumberFormat="1" applyFont="1"/>
    <xf numFmtId="49" fontId="8" fillId="0" borderId="13" xfId="0" applyNumberFormat="1" applyFont="1" applyBorder="1" applyAlignment="1">
      <alignment horizontal="center"/>
    </xf>
    <xf numFmtId="0" fontId="42" fillId="0" borderId="0" xfId="0" applyFont="1" applyAlignment="1">
      <alignment horizontal="left"/>
    </xf>
    <xf numFmtId="0" fontId="62" fillId="0" borderId="0" xfId="0" applyFont="1" applyAlignment="1">
      <alignment horizontal="center"/>
    </xf>
    <xf numFmtId="41" fontId="41" fillId="0" borderId="0" xfId="0" applyNumberFormat="1" applyFont="1" applyAlignment="1">
      <alignment horizontal="center"/>
    </xf>
    <xf numFmtId="1" fontId="41" fillId="0" borderId="0" xfId="0" applyNumberFormat="1" applyFont="1" applyAlignment="1">
      <alignment horizontal="center"/>
    </xf>
    <xf numFmtId="17" fontId="62" fillId="0" borderId="0" xfId="0" applyNumberFormat="1" applyFont="1" applyAlignment="1">
      <alignment horizontal="center"/>
    </xf>
    <xf numFmtId="17" fontId="43" fillId="0" borderId="0" xfId="0" applyNumberFormat="1" applyFont="1" applyAlignment="1">
      <alignment horizontal="left"/>
    </xf>
    <xf numFmtId="17" fontId="62" fillId="0" borderId="0" xfId="0" applyNumberFormat="1" applyFont="1" applyAlignment="1">
      <alignment horizontal="left"/>
    </xf>
    <xf numFmtId="17" fontId="41" fillId="0" borderId="0" xfId="0" applyNumberFormat="1" applyFont="1" applyAlignment="1">
      <alignment horizontal="left"/>
    </xf>
    <xf numFmtId="165" fontId="41" fillId="0" borderId="0" xfId="0" applyNumberFormat="1" applyFont="1" applyAlignment="1">
      <alignment horizontal="center"/>
    </xf>
    <xf numFmtId="44" fontId="63" fillId="0" borderId="1" xfId="31" applyFont="1" applyBorder="1"/>
    <xf numFmtId="0" fontId="5" fillId="4" borderId="0" xfId="0" applyFont="1" applyFill="1"/>
    <xf numFmtId="0" fontId="5" fillId="0" borderId="0" xfId="0" applyFont="1" applyAlignment="1">
      <alignment wrapText="1"/>
    </xf>
    <xf numFmtId="0" fontId="50" fillId="0" borderId="0" xfId="0" applyFont="1" applyAlignment="1">
      <alignment vertical="center"/>
    </xf>
    <xf numFmtId="0" fontId="4" fillId="0" borderId="72" xfId="0" applyFont="1" applyBorder="1" applyAlignment="1">
      <alignment horizontal="center" vertical="center"/>
    </xf>
    <xf numFmtId="170" fontId="0" fillId="2" borderId="80" xfId="0" applyNumberFormat="1" applyFill="1" applyBorder="1"/>
    <xf numFmtId="44" fontId="0" fillId="0" borderId="1" xfId="0" applyNumberFormat="1" applyBorder="1"/>
    <xf numFmtId="0" fontId="36" fillId="2" borderId="46" xfId="0" applyFont="1" applyFill="1" applyBorder="1" applyAlignment="1">
      <alignment horizontal="center" vertical="center"/>
    </xf>
    <xf numFmtId="44" fontId="0" fillId="0" borderId="0" xfId="0" applyNumberFormat="1"/>
    <xf numFmtId="0" fontId="5" fillId="0" borderId="1" xfId="0" applyFont="1" applyBorder="1"/>
    <xf numFmtId="4" fontId="5" fillId="0" borderId="1" xfId="0" applyNumberFormat="1" applyFont="1" applyBorder="1"/>
    <xf numFmtId="3" fontId="5" fillId="0" borderId="1" xfId="0" applyNumberFormat="1" applyFont="1" applyBorder="1"/>
    <xf numFmtId="0" fontId="39" fillId="0" borderId="61" xfId="0" applyFont="1" applyBorder="1"/>
    <xf numFmtId="0" fontId="34" fillId="0" borderId="13" xfId="0" applyFont="1" applyBorder="1"/>
    <xf numFmtId="44" fontId="34" fillId="0" borderId="1" xfId="31" applyFont="1" applyBorder="1"/>
    <xf numFmtId="44" fontId="34" fillId="0" borderId="75" xfId="31" applyFont="1" applyBorder="1"/>
    <xf numFmtId="0" fontId="34" fillId="0" borderId="74" xfId="0" applyFont="1" applyBorder="1"/>
    <xf numFmtId="0" fontId="34" fillId="0" borderId="70" xfId="0" applyFont="1" applyBorder="1"/>
    <xf numFmtId="44" fontId="34" fillId="0" borderId="70" xfId="31" applyFont="1" applyBorder="1"/>
    <xf numFmtId="44" fontId="39" fillId="0" borderId="48" xfId="31" applyFont="1" applyBorder="1"/>
    <xf numFmtId="44" fontId="39" fillId="0" borderId="81" xfId="31" applyFont="1" applyBorder="1"/>
    <xf numFmtId="0" fontId="40" fillId="0" borderId="14" xfId="0" applyFont="1" applyBorder="1"/>
    <xf numFmtId="44" fontId="40" fillId="0" borderId="32" xfId="0" applyNumberFormat="1" applyFont="1" applyBorder="1"/>
    <xf numFmtId="44" fontId="40" fillId="0" borderId="14" xfId="0" applyNumberFormat="1" applyFont="1" applyBorder="1"/>
    <xf numFmtId="40" fontId="40" fillId="0" borderId="14" xfId="0" applyNumberFormat="1" applyFont="1" applyBorder="1"/>
    <xf numFmtId="44" fontId="40" fillId="0" borderId="6" xfId="0" applyNumberFormat="1" applyFont="1" applyBorder="1"/>
    <xf numFmtId="0" fontId="39" fillId="0" borderId="5" xfId="0" applyFont="1" applyBorder="1"/>
    <xf numFmtId="0" fontId="39" fillId="0" borderId="9" xfId="0" applyFont="1" applyBorder="1"/>
    <xf numFmtId="40" fontId="39" fillId="0" borderId="0" xfId="0" applyNumberFormat="1" applyFont="1"/>
    <xf numFmtId="43" fontId="46" fillId="0" borderId="0" xfId="0" applyNumberFormat="1" applyFont="1"/>
    <xf numFmtId="0" fontId="62" fillId="0" borderId="0" xfId="0" applyFont="1"/>
    <xf numFmtId="0" fontId="62" fillId="0" borderId="0" xfId="0" applyFont="1" applyAlignment="1">
      <alignment horizontal="center" vertical="center" wrapText="1"/>
    </xf>
    <xf numFmtId="44" fontId="62" fillId="0" borderId="0" xfId="31" applyFont="1"/>
    <xf numFmtId="0" fontId="54" fillId="0" borderId="82" xfId="0" applyFont="1" applyBorder="1"/>
    <xf numFmtId="0" fontId="54" fillId="0" borderId="58" xfId="0" applyFont="1" applyBorder="1"/>
    <xf numFmtId="3" fontId="39" fillId="0" borderId="0" xfId="0" applyNumberFormat="1" applyFont="1"/>
    <xf numFmtId="44" fontId="62" fillId="0" borderId="0" xfId="0" applyNumberFormat="1" applyFont="1"/>
    <xf numFmtId="0" fontId="40" fillId="0" borderId="32" xfId="0" applyFont="1" applyBorder="1"/>
    <xf numFmtId="0" fontId="34" fillId="0" borderId="5" xfId="0" applyFont="1" applyBorder="1"/>
    <xf numFmtId="170" fontId="0" fillId="0" borderId="47" xfId="0" applyNumberFormat="1" applyBorder="1"/>
    <xf numFmtId="3" fontId="39" fillId="0" borderId="3" xfId="0" applyNumberFormat="1" applyFont="1" applyBorder="1" applyAlignment="1">
      <alignment horizontal="right"/>
    </xf>
    <xf numFmtId="8" fontId="38" fillId="0" borderId="1" xfId="0" applyNumberFormat="1" applyFont="1" applyBorder="1" applyAlignment="1">
      <alignment horizontal="center"/>
    </xf>
    <xf numFmtId="0" fontId="61" fillId="0" borderId="0" xfId="0" applyFont="1"/>
    <xf numFmtId="0" fontId="34" fillId="0" borderId="57" xfId="0" applyFont="1" applyBorder="1"/>
    <xf numFmtId="0" fontId="24" fillId="0" borderId="0" xfId="0" applyFont="1"/>
    <xf numFmtId="0" fontId="5" fillId="6"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65" fillId="0" borderId="0" xfId="0" applyFont="1" applyAlignment="1">
      <alignment horizontal="center"/>
    </xf>
    <xf numFmtId="0" fontId="0" fillId="0" borderId="0" xfId="0" applyAlignment="1">
      <alignment horizontal="center"/>
    </xf>
    <xf numFmtId="0" fontId="0" fillId="2" borderId="0" xfId="0" applyFill="1" applyAlignment="1">
      <alignment vertical="top"/>
    </xf>
    <xf numFmtId="0" fontId="34" fillId="0" borderId="83" xfId="0" applyFont="1" applyBorder="1" applyAlignment="1">
      <alignment horizontal="center" vertical="center" wrapText="1"/>
    </xf>
    <xf numFmtId="0" fontId="6" fillId="0" borderId="0" xfId="0" applyFont="1"/>
    <xf numFmtId="17" fontId="40" fillId="38" borderId="20" xfId="0" applyNumberFormat="1" applyFont="1" applyFill="1" applyBorder="1" applyAlignment="1">
      <alignment horizontal="center"/>
    </xf>
    <xf numFmtId="3" fontId="40" fillId="38" borderId="11" xfId="0" applyNumberFormat="1" applyFont="1" applyFill="1" applyBorder="1" applyAlignment="1">
      <alignment horizontal="center"/>
    </xf>
    <xf numFmtId="0" fontId="40" fillId="38" borderId="20" xfId="0" applyFont="1" applyFill="1" applyBorder="1" applyAlignment="1">
      <alignment horizontal="center"/>
    </xf>
    <xf numFmtId="3" fontId="40" fillId="38" borderId="6" xfId="0" applyNumberFormat="1" applyFont="1" applyFill="1" applyBorder="1" applyAlignment="1">
      <alignment horizontal="center"/>
    </xf>
    <xf numFmtId="0" fontId="44" fillId="0" borderId="0" xfId="0" applyFont="1" applyAlignment="1">
      <alignment horizontal="center" wrapText="1"/>
    </xf>
    <xf numFmtId="0" fontId="66" fillId="0" borderId="1" xfId="50" applyFont="1" applyBorder="1" applyAlignment="1">
      <alignment horizontal="center" vertical="top" wrapText="1"/>
    </xf>
    <xf numFmtId="42" fontId="62" fillId="0" borderId="0" xfId="0" applyNumberFormat="1" applyFont="1" applyAlignment="1">
      <alignment horizontal="center"/>
    </xf>
    <xf numFmtId="44" fontId="56" fillId="0" borderId="0" xfId="0" applyNumberFormat="1" applyFont="1"/>
    <xf numFmtId="0" fontId="35" fillId="0" borderId="2" xfId="0" applyFont="1" applyBorder="1" applyAlignment="1">
      <alignment horizontal="center" vertical="center" wrapText="1"/>
    </xf>
    <xf numFmtId="44" fontId="41" fillId="0" borderId="79" xfId="31" applyFont="1" applyBorder="1"/>
    <xf numFmtId="44" fontId="41" fillId="0" borderId="55" xfId="31" applyFont="1" applyBorder="1"/>
    <xf numFmtId="0" fontId="40" fillId="0" borderId="52" xfId="0" applyFont="1" applyBorder="1"/>
    <xf numFmtId="17" fontId="11" fillId="39" borderId="20" xfId="0" applyNumberFormat="1" applyFont="1" applyFill="1" applyBorder="1" applyAlignment="1">
      <alignment horizontal="center"/>
    </xf>
    <xf numFmtId="17" fontId="7" fillId="39" borderId="14" xfId="0" applyNumberFormat="1" applyFont="1" applyFill="1" applyBorder="1" applyAlignment="1">
      <alignment horizontal="center"/>
    </xf>
    <xf numFmtId="3" fontId="11" fillId="39" borderId="6" xfId="0" applyNumberFormat="1" applyFont="1" applyFill="1" applyBorder="1" applyAlignment="1">
      <alignment horizontal="center"/>
    </xf>
    <xf numFmtId="3" fontId="15" fillId="39" borderId="11" xfId="0" applyNumberFormat="1" applyFont="1" applyFill="1" applyBorder="1" applyAlignment="1">
      <alignment horizontal="center"/>
    </xf>
    <xf numFmtId="3" fontId="15" fillId="39" borderId="37" xfId="0" applyNumberFormat="1" applyFont="1" applyFill="1" applyBorder="1" applyAlignment="1">
      <alignment horizontal="center"/>
    </xf>
    <xf numFmtId="3" fontId="11" fillId="39" borderId="14" xfId="0" applyNumberFormat="1" applyFont="1" applyFill="1" applyBorder="1" applyAlignment="1">
      <alignment horizontal="center"/>
    </xf>
    <xf numFmtId="3" fontId="20" fillId="39" borderId="37" xfId="0" applyNumberFormat="1" applyFont="1" applyFill="1" applyBorder="1" applyAlignment="1">
      <alignment horizontal="center"/>
    </xf>
    <xf numFmtId="3" fontId="7" fillId="39" borderId="6" xfId="0" applyNumberFormat="1" applyFont="1" applyFill="1" applyBorder="1" applyAlignment="1">
      <alignment horizontal="center"/>
    </xf>
    <xf numFmtId="3" fontId="11" fillId="39" borderId="32" xfId="0" applyNumberFormat="1" applyFont="1" applyFill="1" applyBorder="1" applyAlignment="1">
      <alignment horizontal="center"/>
    </xf>
    <xf numFmtId="3" fontId="20" fillId="39" borderId="11" xfId="0" applyNumberFormat="1" applyFont="1" applyFill="1" applyBorder="1" applyAlignment="1">
      <alignment horizontal="center"/>
    </xf>
    <xf numFmtId="3" fontId="11" fillId="39" borderId="11" xfId="0" applyNumberFormat="1" applyFont="1" applyFill="1" applyBorder="1" applyAlignment="1">
      <alignment horizontal="center"/>
    </xf>
    <xf numFmtId="0" fontId="5" fillId="0" borderId="0" xfId="0" applyFont="1" applyAlignment="1">
      <alignment horizontal="right"/>
    </xf>
    <xf numFmtId="2" fontId="0" fillId="0" borderId="1" xfId="0" applyNumberFormat="1" applyBorder="1" applyAlignment="1">
      <alignment horizontal="center"/>
    </xf>
    <xf numFmtId="17" fontId="40" fillId="0" borderId="85" xfId="0" applyNumberFormat="1" applyFont="1" applyBorder="1" applyAlignment="1">
      <alignment horizontal="center" vertical="center"/>
    </xf>
    <xf numFmtId="4" fontId="41" fillId="0" borderId="71" xfId="0" applyNumberFormat="1" applyFont="1" applyBorder="1"/>
    <xf numFmtId="1" fontId="41" fillId="0" borderId="71" xfId="0" applyNumberFormat="1" applyFont="1" applyBorder="1" applyAlignment="1">
      <alignment horizontal="center"/>
    </xf>
    <xf numFmtId="3" fontId="41" fillId="0" borderId="71" xfId="0" applyNumberFormat="1" applyFont="1" applyBorder="1" applyAlignment="1">
      <alignment horizontal="center" wrapText="1"/>
    </xf>
    <xf numFmtId="3" fontId="40" fillId="0" borderId="38" xfId="0" applyNumberFormat="1" applyFont="1" applyBorder="1" applyAlignment="1">
      <alignment horizontal="center"/>
    </xf>
    <xf numFmtId="0" fontId="40" fillId="40" borderId="20" xfId="0" applyFont="1" applyFill="1" applyBorder="1"/>
    <xf numFmtId="3" fontId="40" fillId="40" borderId="6" xfId="0" applyNumberFormat="1" applyFont="1" applyFill="1" applyBorder="1" applyAlignment="1">
      <alignment horizontal="center"/>
    </xf>
    <xf numFmtId="3" fontId="40" fillId="40" borderId="11" xfId="0" applyNumberFormat="1" applyFont="1" applyFill="1" applyBorder="1" applyAlignment="1">
      <alignment horizontal="center"/>
    </xf>
    <xf numFmtId="3" fontId="40" fillId="40" borderId="36" xfId="0" applyNumberFormat="1" applyFont="1" applyFill="1" applyBorder="1" applyAlignment="1">
      <alignment horizontal="center"/>
    </xf>
    <xf numFmtId="0" fontId="41" fillId="0" borderId="47" xfId="0" applyFont="1" applyBorder="1"/>
    <xf numFmtId="37" fontId="41" fillId="0" borderId="1" xfId="0" applyNumberFormat="1" applyFont="1" applyBorder="1" applyAlignment="1">
      <alignment horizontal="right"/>
    </xf>
    <xf numFmtId="166" fontId="41" fillId="0" borderId="1" xfId="0" applyNumberFormat="1" applyFont="1" applyBorder="1" applyAlignment="1">
      <alignment horizontal="center"/>
    </xf>
    <xf numFmtId="41" fontId="40" fillId="38" borderId="12" xfId="0" applyNumberFormat="1" applyFont="1" applyFill="1" applyBorder="1" applyAlignment="1">
      <alignment horizontal="center"/>
    </xf>
    <xf numFmtId="0" fontId="4" fillId="0" borderId="0" xfId="0" applyFont="1"/>
    <xf numFmtId="0" fontId="4" fillId="0" borderId="0" xfId="0" applyFont="1" applyAlignment="1">
      <alignment horizontal="center"/>
    </xf>
    <xf numFmtId="0" fontId="4" fillId="44" borderId="1" xfId="0" applyFont="1" applyFill="1" applyBorder="1" applyAlignment="1">
      <alignment horizontal="center"/>
    </xf>
    <xf numFmtId="0" fontId="4" fillId="44" borderId="0" xfId="0" applyFont="1" applyFill="1" applyAlignment="1">
      <alignment horizontal="center"/>
    </xf>
    <xf numFmtId="0" fontId="0" fillId="43" borderId="1" xfId="0" applyFill="1" applyBorder="1" applyAlignment="1">
      <alignment horizontal="center"/>
    </xf>
    <xf numFmtId="0" fontId="5" fillId="43" borderId="1" xfId="0" applyFont="1" applyFill="1" applyBorder="1" applyAlignment="1">
      <alignment horizontal="center"/>
    </xf>
    <xf numFmtId="0" fontId="4" fillId="0" borderId="1" xfId="0" applyFont="1" applyBorder="1" applyAlignment="1">
      <alignment horizontal="center"/>
    </xf>
    <xf numFmtId="2" fontId="5" fillId="0" borderId="1" xfId="0" applyNumberFormat="1" applyFont="1" applyBorder="1" applyAlignment="1">
      <alignment horizontal="center"/>
    </xf>
    <xf numFmtId="3" fontId="4" fillId="44" borderId="0" xfId="0" applyNumberFormat="1" applyFont="1" applyFill="1" applyAlignment="1">
      <alignment horizontal="center"/>
    </xf>
    <xf numFmtId="0" fontId="4" fillId="3" borderId="1" xfId="0" applyFont="1" applyFill="1" applyBorder="1" applyAlignment="1">
      <alignment horizontal="center"/>
    </xf>
    <xf numFmtId="0" fontId="0" fillId="0" borderId="1" xfId="0" applyBorder="1" applyAlignment="1">
      <alignment horizontal="center" vertical="center"/>
    </xf>
    <xf numFmtId="4" fontId="4" fillId="3" borderId="0" xfId="0" applyNumberFormat="1" applyFont="1" applyFill="1" applyAlignment="1">
      <alignment horizontal="center"/>
    </xf>
    <xf numFmtId="164" fontId="26" fillId="0" borderId="1" xfId="0" applyNumberFormat="1" applyFont="1" applyBorder="1" applyAlignment="1">
      <alignment horizontal="center"/>
    </xf>
    <xf numFmtId="164" fontId="38" fillId="0" borderId="1" xfId="0" applyNumberFormat="1" applyFont="1" applyBorder="1" applyAlignment="1">
      <alignment horizontal="center"/>
    </xf>
    <xf numFmtId="44" fontId="44" fillId="0" borderId="0" xfId="0" applyNumberFormat="1" applyFont="1"/>
    <xf numFmtId="0" fontId="5" fillId="0" borderId="0" xfId="0" applyFont="1"/>
    <xf numFmtId="0" fontId="5" fillId="0" borderId="2" xfId="0" applyFont="1" applyBorder="1" applyAlignment="1">
      <alignment horizontal="center" vertical="center"/>
    </xf>
    <xf numFmtId="44" fontId="5" fillId="0" borderId="2" xfId="3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3" xfId="0" applyFont="1" applyBorder="1"/>
    <xf numFmtId="8" fontId="5" fillId="0" borderId="19" xfId="0" applyNumberFormat="1" applyFont="1" applyBorder="1"/>
    <xf numFmtId="44" fontId="5" fillId="0" borderId="64" xfId="31" applyBorder="1" applyAlignment="1">
      <alignment horizontal="right"/>
    </xf>
    <xf numFmtId="44" fontId="5" fillId="0" borderId="3" xfId="31" applyBorder="1" applyAlignment="1">
      <alignment horizontal="right"/>
    </xf>
    <xf numFmtId="8" fontId="5" fillId="0" borderId="13" xfId="0" applyNumberFormat="1" applyFont="1" applyBorder="1"/>
    <xf numFmtId="44" fontId="5" fillId="0" borderId="1" xfId="31" applyBorder="1" applyAlignment="1">
      <alignment horizontal="right"/>
    </xf>
    <xf numFmtId="0" fontId="5" fillId="0" borderId="5" xfId="0" applyFont="1" applyBorder="1"/>
    <xf numFmtId="44" fontId="5" fillId="0" borderId="0" xfId="0" applyNumberFormat="1" applyFont="1"/>
    <xf numFmtId="8" fontId="5" fillId="0" borderId="57" xfId="0" applyNumberFormat="1" applyFont="1" applyBorder="1"/>
    <xf numFmtId="0" fontId="5" fillId="0" borderId="57" xfId="0" applyFont="1" applyBorder="1"/>
    <xf numFmtId="0" fontId="5" fillId="0" borderId="8" xfId="0" applyFont="1" applyBorder="1"/>
    <xf numFmtId="0" fontId="5" fillId="0" borderId="9" xfId="0" applyFont="1" applyBorder="1"/>
    <xf numFmtId="0" fontId="5" fillId="0" borderId="65" xfId="0" applyFont="1" applyBorder="1"/>
    <xf numFmtId="44" fontId="5" fillId="0" borderId="8" xfId="31" applyBorder="1" applyAlignment="1">
      <alignment horizontal="right"/>
    </xf>
    <xf numFmtId="0" fontId="5" fillId="0" borderId="33" xfId="0" applyFont="1" applyBorder="1"/>
    <xf numFmtId="8" fontId="5" fillId="0" borderId="34" xfId="0" applyNumberFormat="1" applyFont="1" applyBorder="1"/>
    <xf numFmtId="8" fontId="5" fillId="0" borderId="15" xfId="0" applyNumberFormat="1" applyFont="1" applyBorder="1"/>
    <xf numFmtId="44" fontId="5" fillId="0" borderId="16" xfId="31" applyBorder="1" applyAlignment="1">
      <alignment horizontal="right"/>
    </xf>
    <xf numFmtId="44" fontId="5" fillId="0" borderId="33" xfId="31" applyBorder="1" applyAlignment="1">
      <alignment horizontal="right"/>
    </xf>
    <xf numFmtId="44" fontId="5" fillId="0" borderId="1" xfId="0" applyNumberFormat="1" applyFont="1" applyBorder="1"/>
    <xf numFmtId="0" fontId="5" fillId="0" borderId="1" xfId="0" applyFont="1" applyBorder="1" applyAlignment="1">
      <alignment horizontal="right"/>
    </xf>
    <xf numFmtId="44" fontId="5" fillId="0" borderId="15" xfId="31" applyBorder="1" applyAlignment="1">
      <alignment horizontal="right"/>
    </xf>
    <xf numFmtId="0" fontId="5" fillId="0" borderId="48" xfId="0" applyFont="1" applyBorder="1"/>
    <xf numFmtId="44" fontId="5" fillId="0" borderId="13" xfId="31" applyBorder="1" applyAlignment="1">
      <alignment horizontal="right"/>
    </xf>
    <xf numFmtId="43" fontId="5" fillId="0" borderId="0" xfId="28"/>
    <xf numFmtId="43" fontId="5" fillId="0" borderId="1" xfId="28" applyBorder="1"/>
    <xf numFmtId="44" fontId="5" fillId="0" borderId="19" xfId="31" applyBorder="1" applyAlignment="1">
      <alignment horizontal="right"/>
    </xf>
    <xf numFmtId="44" fontId="5" fillId="0" borderId="61" xfId="31" applyBorder="1" applyAlignment="1">
      <alignment horizontal="right"/>
    </xf>
    <xf numFmtId="44" fontId="5" fillId="0" borderId="69" xfId="31" applyBorder="1" applyAlignment="1">
      <alignment horizontal="right"/>
    </xf>
    <xf numFmtId="8" fontId="5" fillId="0" borderId="0" xfId="0" applyNumberFormat="1" applyFont="1"/>
    <xf numFmtId="44" fontId="5" fillId="0" borderId="0" xfId="31" applyAlignment="1">
      <alignment horizontal="right"/>
    </xf>
    <xf numFmtId="0" fontId="90" fillId="0" borderId="0" xfId="0" applyFont="1"/>
    <xf numFmtId="0" fontId="91" fillId="0" borderId="100" xfId="64" applyFont="1" applyBorder="1"/>
    <xf numFmtId="8" fontId="4" fillId="0" borderId="13" xfId="0" applyNumberFormat="1" applyFont="1" applyBorder="1"/>
    <xf numFmtId="0" fontId="88" fillId="0" borderId="100" xfId="63" applyBorder="1"/>
    <xf numFmtId="0" fontId="88" fillId="0" borderId="60" xfId="63" applyBorder="1" applyAlignment="1">
      <alignment horizontal="right"/>
    </xf>
    <xf numFmtId="44" fontId="4" fillId="0" borderId="1" xfId="31" applyFont="1" applyBorder="1" applyAlignment="1">
      <alignment horizontal="right"/>
    </xf>
    <xf numFmtId="8" fontId="4" fillId="0" borderId="57" xfId="0" applyNumberFormat="1" applyFont="1" applyBorder="1"/>
    <xf numFmtId="0" fontId="4" fillId="0" borderId="5" xfId="0" applyFont="1" applyBorder="1"/>
    <xf numFmtId="44" fontId="4" fillId="0" borderId="8" xfId="31" applyFont="1" applyBorder="1" applyAlignment="1">
      <alignment horizontal="right"/>
    </xf>
    <xf numFmtId="0" fontId="4" fillId="0" borderId="65" xfId="0" applyFont="1" applyBorder="1"/>
    <xf numFmtId="0" fontId="5" fillId="0" borderId="13" xfId="0" applyFont="1" applyBorder="1"/>
    <xf numFmtId="0" fontId="88" fillId="0" borderId="0" xfId="63" applyAlignment="1">
      <alignment horizontal="right"/>
    </xf>
    <xf numFmtId="0" fontId="93" fillId="0" borderId="100" xfId="63" applyFont="1" applyBorder="1"/>
    <xf numFmtId="44" fontId="6" fillId="0" borderId="0" xfId="0" applyNumberFormat="1" applyFont="1"/>
    <xf numFmtId="8" fontId="6" fillId="0" borderId="13" xfId="0" applyNumberFormat="1" applyFont="1" applyBorder="1"/>
    <xf numFmtId="0" fontId="24" fillId="0" borderId="2" xfId="0" applyFont="1" applyBorder="1" applyAlignment="1">
      <alignment horizontal="center" vertical="center"/>
    </xf>
    <xf numFmtId="44" fontId="24" fillId="0" borderId="2" xfId="31" applyFont="1" applyBorder="1" applyAlignment="1">
      <alignment horizontal="center" vertical="center" wrapText="1"/>
    </xf>
    <xf numFmtId="0" fontId="4" fillId="0" borderId="47" xfId="0" applyFont="1" applyBorder="1" applyAlignment="1">
      <alignment wrapText="1"/>
    </xf>
    <xf numFmtId="44" fontId="5" fillId="0" borderId="68" xfId="31" applyBorder="1" applyAlignment="1">
      <alignment horizontal="right"/>
    </xf>
    <xf numFmtId="44" fontId="5" fillId="0" borderId="47" xfId="31" applyBorder="1" applyAlignment="1">
      <alignment horizontal="right"/>
    </xf>
    <xf numFmtId="44" fontId="4" fillId="0" borderId="47" xfId="31" applyFont="1" applyBorder="1" applyAlignment="1">
      <alignment horizontal="right"/>
    </xf>
    <xf numFmtId="0" fontId="4" fillId="0" borderId="3" xfId="0" applyFont="1" applyBorder="1"/>
    <xf numFmtId="8" fontId="5" fillId="0" borderId="4" xfId="0" applyNumberFormat="1" applyFont="1" applyBorder="1"/>
    <xf numFmtId="8" fontId="5" fillId="0" borderId="12" xfId="0" applyNumberFormat="1" applyFont="1" applyBorder="1"/>
    <xf numFmtId="8" fontId="4" fillId="0" borderId="5" xfId="0" applyNumberFormat="1" applyFont="1" applyBorder="1"/>
    <xf numFmtId="0" fontId="4" fillId="0" borderId="9" xfId="0" applyFont="1" applyBorder="1"/>
    <xf numFmtId="0" fontId="4" fillId="0" borderId="33" xfId="0" applyFont="1" applyBorder="1"/>
    <xf numFmtId="0" fontId="5" fillId="0" borderId="34" xfId="0" applyFont="1" applyBorder="1" applyAlignment="1">
      <alignment horizontal="left" vertical="center" wrapText="1"/>
    </xf>
    <xf numFmtId="0" fontId="5" fillId="0" borderId="15" xfId="0" applyFont="1" applyBorder="1" applyAlignment="1">
      <alignment horizontal="left" vertical="center" wrapText="1"/>
    </xf>
    <xf numFmtId="0" fontId="4" fillId="0" borderId="47" xfId="0" applyFont="1" applyBorder="1"/>
    <xf numFmtId="44" fontId="5" fillId="0" borderId="34" xfId="31" applyBorder="1" applyAlignment="1">
      <alignment horizontal="right"/>
    </xf>
    <xf numFmtId="0" fontId="4" fillId="0" borderId="3" xfId="0" applyFont="1" applyBorder="1" applyAlignment="1">
      <alignment wrapText="1"/>
    </xf>
    <xf numFmtId="44" fontId="5" fillId="0" borderId="12" xfId="31" applyBorder="1" applyAlignment="1">
      <alignment horizontal="right"/>
    </xf>
    <xf numFmtId="44" fontId="4" fillId="0" borderId="70" xfId="31" applyFont="1" applyBorder="1" applyAlignment="1">
      <alignment horizontal="right"/>
    </xf>
    <xf numFmtId="0" fontId="5" fillId="0" borderId="15" xfId="0" applyFont="1" applyBorder="1" applyAlignment="1">
      <alignment horizontal="left" vertical="center"/>
    </xf>
    <xf numFmtId="40" fontId="5" fillId="0" borderId="15" xfId="0" applyNumberFormat="1" applyFont="1" applyBorder="1" applyAlignment="1">
      <alignment horizontal="right" vertical="center" wrapText="1"/>
    </xf>
    <xf numFmtId="43" fontId="5" fillId="0" borderId="0" xfId="0" applyNumberFormat="1" applyFont="1"/>
    <xf numFmtId="0" fontId="4" fillId="0" borderId="70" xfId="0" applyFont="1" applyBorder="1"/>
    <xf numFmtId="44" fontId="5" fillId="0" borderId="70" xfId="31" applyBorder="1" applyAlignment="1">
      <alignment horizontal="right"/>
    </xf>
    <xf numFmtId="0" fontId="4" fillId="0" borderId="1" xfId="0" applyFont="1" applyBorder="1"/>
    <xf numFmtId="44" fontId="5" fillId="0" borderId="27" xfId="31" applyBorder="1" applyAlignment="1">
      <alignment horizontal="right"/>
    </xf>
    <xf numFmtId="0" fontId="4" fillId="0" borderId="70" xfId="0" applyFont="1" applyBorder="1" applyAlignment="1">
      <alignment horizontal="center" wrapText="1"/>
    </xf>
    <xf numFmtId="8" fontId="5" fillId="0" borderId="33" xfId="31" applyNumberFormat="1" applyBorder="1" applyAlignment="1">
      <alignment horizontal="right"/>
    </xf>
    <xf numFmtId="0" fontId="4" fillId="0" borderId="70" xfId="0" applyFont="1" applyBorder="1" applyAlignment="1">
      <alignment wrapText="1"/>
    </xf>
    <xf numFmtId="0" fontId="4" fillId="0" borderId="27" xfId="0" applyFont="1" applyBorder="1"/>
    <xf numFmtId="0" fontId="5" fillId="0" borderId="32" xfId="0" applyFont="1" applyBorder="1"/>
    <xf numFmtId="0" fontId="24" fillId="0" borderId="58" xfId="0" applyFont="1" applyBorder="1" applyAlignment="1">
      <alignment horizontal="center"/>
    </xf>
    <xf numFmtId="0" fontId="24" fillId="0" borderId="66" xfId="0" applyFont="1" applyBorder="1" applyAlignment="1">
      <alignment horizontal="center"/>
    </xf>
    <xf numFmtId="0" fontId="24" fillId="0" borderId="67" xfId="0" applyFont="1" applyBorder="1" applyAlignment="1">
      <alignment horizontal="center"/>
    </xf>
    <xf numFmtId="44" fontId="24" fillId="0" borderId="67" xfId="31" applyFont="1" applyBorder="1" applyAlignment="1">
      <alignment horizontal="right"/>
    </xf>
    <xf numFmtId="44" fontId="24" fillId="0" borderId="62" xfId="31" applyFont="1" applyBorder="1" applyAlignment="1">
      <alignment horizontal="right"/>
    </xf>
    <xf numFmtId="44" fontId="24" fillId="0" borderId="41" xfId="31" applyFont="1" applyBorder="1" applyAlignment="1">
      <alignment horizontal="center"/>
    </xf>
    <xf numFmtId="8" fontId="5" fillId="0" borderId="1" xfId="31" applyNumberFormat="1" applyBorder="1" applyAlignment="1">
      <alignment horizontal="right"/>
    </xf>
    <xf numFmtId="44" fontId="92" fillId="0" borderId="8" xfId="31" applyFont="1" applyBorder="1" applyAlignment="1">
      <alignment horizontal="right"/>
    </xf>
    <xf numFmtId="8" fontId="5" fillId="0" borderId="65" xfId="0" applyNumberFormat="1" applyFont="1" applyBorder="1"/>
    <xf numFmtId="8" fontId="4" fillId="0" borderId="65" xfId="0" applyNumberFormat="1" applyFont="1" applyBorder="1"/>
    <xf numFmtId="44" fontId="4" fillId="38" borderId="33" xfId="31" applyFont="1" applyFill="1" applyBorder="1" applyAlignment="1">
      <alignment horizontal="right"/>
    </xf>
    <xf numFmtId="44" fontId="5" fillId="0" borderId="73" xfId="0" applyNumberFormat="1" applyFont="1" applyBorder="1"/>
    <xf numFmtId="44" fontId="5" fillId="0" borderId="0" xfId="31"/>
    <xf numFmtId="0" fontId="94" fillId="0" borderId="0" xfId="0" applyFont="1"/>
    <xf numFmtId="0" fontId="46" fillId="0" borderId="0" xfId="0" applyFont="1" applyAlignment="1">
      <alignment horizontal="center"/>
    </xf>
    <xf numFmtId="44" fontId="39" fillId="0" borderId="0" xfId="0" applyNumberFormat="1" applyFont="1" applyAlignment="1">
      <alignment horizontal="center"/>
    </xf>
    <xf numFmtId="0" fontId="54" fillId="0" borderId="0" xfId="0" applyFont="1" applyAlignment="1">
      <alignment horizontal="center"/>
    </xf>
    <xf numFmtId="0" fontId="35" fillId="0" borderId="1" xfId="0" applyFont="1" applyBorder="1" applyAlignment="1">
      <alignment horizontal="center"/>
    </xf>
    <xf numFmtId="40" fontId="46" fillId="0" borderId="0" xfId="0" applyNumberFormat="1" applyFont="1"/>
    <xf numFmtId="0" fontId="46" fillId="0" borderId="52" xfId="0" applyFont="1" applyBorder="1"/>
    <xf numFmtId="0" fontId="57" fillId="0" borderId="0" xfId="0" applyFont="1" applyAlignment="1">
      <alignment horizontal="left" vertical="center"/>
    </xf>
    <xf numFmtId="44" fontId="58" fillId="0" borderId="0" xfId="0" applyNumberFormat="1" applyFont="1" applyAlignment="1">
      <alignment horizontal="center" vertical="center"/>
    </xf>
    <xf numFmtId="0" fontId="58" fillId="0" borderId="0" xfId="0" applyFont="1" applyAlignment="1">
      <alignment vertical="center"/>
    </xf>
    <xf numFmtId="0" fontId="46" fillId="0" borderId="0" xfId="0" applyFont="1" applyAlignment="1">
      <alignment horizontal="left" vertical="center"/>
    </xf>
    <xf numFmtId="44" fontId="57" fillId="0" borderId="0" xfId="31" applyFont="1" applyAlignment="1">
      <alignment horizontal="right" vertical="center"/>
    </xf>
    <xf numFmtId="0" fontId="46" fillId="0" borderId="57" xfId="0" applyFont="1" applyBorder="1"/>
    <xf numFmtId="0" fontId="46" fillId="0" borderId="13" xfId="0" applyFont="1" applyBorder="1"/>
    <xf numFmtId="0" fontId="35" fillId="0" borderId="76" xfId="0" applyFont="1" applyBorder="1"/>
    <xf numFmtId="0" fontId="6" fillId="0" borderId="78" xfId="0" applyFont="1" applyBorder="1"/>
    <xf numFmtId="167" fontId="35" fillId="5" borderId="50" xfId="0" applyNumberFormat="1" applyFont="1" applyFill="1" applyBorder="1" applyAlignment="1">
      <alignment horizontal="right"/>
    </xf>
    <xf numFmtId="0" fontId="46" fillId="5" borderId="0" xfId="0" applyFont="1" applyFill="1"/>
    <xf numFmtId="10" fontId="46" fillId="0" borderId="3" xfId="0" applyNumberFormat="1" applyFont="1" applyBorder="1" applyAlignment="1">
      <alignment horizontal="center" wrapText="1"/>
    </xf>
    <xf numFmtId="0" fontId="39" fillId="0" borderId="54" xfId="0" applyFont="1" applyBorder="1"/>
    <xf numFmtId="0" fontId="24" fillId="0" borderId="0" xfId="44" applyFont="1"/>
    <xf numFmtId="0" fontId="96" fillId="0" borderId="0" xfId="0" applyFont="1" applyAlignment="1">
      <alignment horizontal="right"/>
    </xf>
    <xf numFmtId="8" fontId="62" fillId="0" borderId="0" xfId="0" applyNumberFormat="1" applyFont="1" applyAlignment="1">
      <alignment horizontal="center"/>
    </xf>
    <xf numFmtId="42" fontId="62" fillId="0" borderId="0" xfId="0" applyNumberFormat="1" applyFont="1"/>
    <xf numFmtId="42" fontId="50" fillId="42" borderId="2" xfId="0" applyNumberFormat="1" applyFont="1" applyFill="1" applyBorder="1" applyAlignment="1">
      <alignment horizontal="center"/>
    </xf>
    <xf numFmtId="42" fontId="50" fillId="42" borderId="2" xfId="0" applyNumberFormat="1" applyFont="1" applyFill="1" applyBorder="1"/>
    <xf numFmtId="3" fontId="40" fillId="38" borderId="39" xfId="0" applyNumberFormat="1" applyFont="1" applyFill="1" applyBorder="1" applyAlignment="1">
      <alignment horizontal="center"/>
    </xf>
    <xf numFmtId="3" fontId="41" fillId="0" borderId="30" xfId="0" applyNumberFormat="1" applyFont="1" applyBorder="1" applyAlignment="1">
      <alignment horizontal="center"/>
    </xf>
    <xf numFmtId="3" fontId="41" fillId="0" borderId="35" xfId="0" applyNumberFormat="1" applyFont="1" applyBorder="1" applyAlignment="1">
      <alignment horizontal="center"/>
    </xf>
    <xf numFmtId="166" fontId="40" fillId="0" borderId="58" xfId="28" applyNumberFormat="1" applyFont="1" applyBorder="1" applyAlignment="1">
      <alignment horizontal="center"/>
    </xf>
    <xf numFmtId="0" fontId="40" fillId="42" borderId="2" xfId="0" applyFont="1" applyFill="1" applyBorder="1" applyAlignment="1">
      <alignment horizontal="center" vertical="center" wrapText="1"/>
    </xf>
    <xf numFmtId="44" fontId="41" fillId="42" borderId="5" xfId="0" applyNumberFormat="1" applyFont="1" applyFill="1" applyBorder="1" applyAlignment="1">
      <alignment horizontal="center"/>
    </xf>
    <xf numFmtId="44" fontId="40" fillId="42" borderId="41" xfId="0" applyNumberFormat="1" applyFont="1" applyFill="1" applyBorder="1" applyAlignment="1">
      <alignment horizontal="center"/>
    </xf>
    <xf numFmtId="43" fontId="0" fillId="0" borderId="0" xfId="28" applyFont="1"/>
    <xf numFmtId="44" fontId="4" fillId="0" borderId="3" xfId="31" applyFont="1" applyBorder="1" applyAlignment="1">
      <alignment horizontal="right"/>
    </xf>
    <xf numFmtId="0" fontId="6" fillId="0" borderId="1" xfId="0" applyFont="1" applyBorder="1"/>
    <xf numFmtId="44" fontId="40" fillId="42" borderId="36" xfId="31" applyFont="1" applyFill="1" applyBorder="1"/>
    <xf numFmtId="44" fontId="54" fillId="42" borderId="86" xfId="31" applyFont="1" applyFill="1" applyBorder="1" applyAlignment="1">
      <alignment horizontal="right"/>
    </xf>
    <xf numFmtId="44" fontId="54" fillId="42" borderId="2" xfId="0" applyNumberFormat="1" applyFont="1" applyFill="1" applyBorder="1"/>
    <xf numFmtId="38" fontId="54" fillId="42" borderId="2" xfId="0" applyNumberFormat="1" applyFont="1" applyFill="1" applyBorder="1"/>
    <xf numFmtId="44" fontId="54" fillId="42" borderId="2" xfId="31" applyFont="1" applyFill="1" applyBorder="1"/>
    <xf numFmtId="44" fontId="54" fillId="42" borderId="46" xfId="31" applyFont="1" applyFill="1" applyBorder="1" applyAlignment="1">
      <alignment horizontal="right"/>
    </xf>
    <xf numFmtId="44" fontId="54" fillId="42" borderId="2" xfId="31" applyFont="1" applyFill="1" applyBorder="1" applyAlignment="1">
      <alignment horizontal="right"/>
    </xf>
    <xf numFmtId="4" fontId="5" fillId="0" borderId="12" xfId="95" applyNumberFormat="1" applyBorder="1"/>
    <xf numFmtId="4" fontId="5" fillId="0" borderId="13" xfId="95" applyNumberFormat="1" applyBorder="1"/>
    <xf numFmtId="44" fontId="5" fillId="0" borderId="13" xfId="95" applyNumberFormat="1" applyBorder="1"/>
    <xf numFmtId="4" fontId="5" fillId="0" borderId="46" xfId="95" applyNumberFormat="1" applyBorder="1"/>
    <xf numFmtId="3" fontId="5" fillId="0" borderId="2" xfId="95" applyNumberFormat="1" applyBorder="1"/>
    <xf numFmtId="3" fontId="39" fillId="0" borderId="3" xfId="95" applyNumberFormat="1" applyFont="1" applyBorder="1" applyAlignment="1">
      <alignment horizontal="right"/>
    </xf>
    <xf numFmtId="166" fontId="41" fillId="0" borderId="1" xfId="28" applyNumberFormat="1" applyFont="1" applyBorder="1" applyAlignment="1">
      <alignment horizontal="center"/>
    </xf>
    <xf numFmtId="37" fontId="8" fillId="0" borderId="1" xfId="0" applyNumberFormat="1" applyFont="1" applyBorder="1" applyAlignment="1">
      <alignment horizontal="center"/>
    </xf>
    <xf numFmtId="0" fontId="8" fillId="0" borderId="13" xfId="0" quotePrefix="1" applyFont="1" applyBorder="1" applyAlignment="1">
      <alignment horizontal="center"/>
    </xf>
    <xf numFmtId="0" fontId="8" fillId="0" borderId="13" xfId="0" applyFont="1" applyBorder="1" applyAlignment="1">
      <alignment horizontal="center"/>
    </xf>
    <xf numFmtId="0" fontId="68" fillId="41" borderId="11" xfId="0" applyFont="1" applyFill="1" applyBorder="1"/>
    <xf numFmtId="17" fontId="10" fillId="41" borderId="22" xfId="0" applyNumberFormat="1" applyFont="1" applyFill="1" applyBorder="1" applyAlignment="1">
      <alignment horizontal="left"/>
    </xf>
    <xf numFmtId="0" fontId="8" fillId="41" borderId="12" xfId="0" quotePrefix="1" applyFont="1" applyFill="1" applyBorder="1" applyAlignment="1">
      <alignment horizontal="center"/>
    </xf>
    <xf numFmtId="49" fontId="8" fillId="41" borderId="12" xfId="0" applyNumberFormat="1" applyFont="1" applyFill="1" applyBorder="1" applyAlignment="1">
      <alignment horizontal="center"/>
    </xf>
    <xf numFmtId="3" fontId="8" fillId="41" borderId="3" xfId="0" applyNumberFormat="1" applyFont="1" applyFill="1" applyBorder="1" applyAlignment="1">
      <alignment horizontal="center"/>
    </xf>
    <xf numFmtId="3" fontId="16" fillId="41" borderId="29" xfId="0" applyNumberFormat="1" applyFont="1" applyFill="1" applyBorder="1" applyAlignment="1">
      <alignment horizontal="center"/>
    </xf>
    <xf numFmtId="3" fontId="15" fillId="41" borderId="37" xfId="0" applyNumberFormat="1" applyFont="1" applyFill="1" applyBorder="1" applyAlignment="1">
      <alignment horizontal="center"/>
    </xf>
    <xf numFmtId="3" fontId="10" fillId="41" borderId="3" xfId="0" applyNumberFormat="1" applyFont="1" applyFill="1" applyBorder="1" applyAlignment="1">
      <alignment horizontal="center"/>
    </xf>
    <xf numFmtId="3" fontId="10" fillId="41" borderId="4" xfId="0" applyNumberFormat="1" applyFont="1" applyFill="1" applyBorder="1" applyAlignment="1">
      <alignment horizontal="center"/>
    </xf>
    <xf numFmtId="3" fontId="15" fillId="41" borderId="29" xfId="0" applyNumberFormat="1" applyFont="1" applyFill="1" applyBorder="1" applyAlignment="1">
      <alignment horizontal="center"/>
    </xf>
    <xf numFmtId="3" fontId="10" fillId="41" borderId="29" xfId="0" applyNumberFormat="1" applyFont="1" applyFill="1" applyBorder="1" applyAlignment="1">
      <alignment horizontal="center"/>
    </xf>
    <xf numFmtId="3" fontId="11" fillId="41" borderId="29" xfId="0" applyNumberFormat="1" applyFont="1" applyFill="1" applyBorder="1" applyAlignment="1">
      <alignment horizontal="center"/>
    </xf>
    <xf numFmtId="8" fontId="4" fillId="0" borderId="63" xfId="0" applyNumberFormat="1" applyFont="1" applyBorder="1"/>
    <xf numFmtId="0" fontId="88" fillId="0" borderId="60" xfId="63" applyBorder="1" applyAlignment="1">
      <alignment horizontal="left"/>
    </xf>
    <xf numFmtId="0" fontId="4" fillId="0" borderId="58" xfId="0" applyFont="1" applyBorder="1" applyAlignment="1">
      <alignment horizontal="center"/>
    </xf>
    <xf numFmtId="0" fontId="4" fillId="0" borderId="66" xfId="0" applyFont="1" applyBorder="1" applyAlignment="1">
      <alignment horizontal="center"/>
    </xf>
    <xf numFmtId="0" fontId="4" fillId="0" borderId="67" xfId="0" applyFont="1" applyBorder="1" applyAlignment="1">
      <alignment horizontal="center"/>
    </xf>
    <xf numFmtId="44" fontId="4" fillId="0" borderId="67" xfId="31" applyFont="1" applyBorder="1" applyAlignment="1">
      <alignment horizontal="right"/>
    </xf>
    <xf numFmtId="44" fontId="4" fillId="0" borderId="62" xfId="31" applyFont="1" applyBorder="1" applyAlignment="1">
      <alignment horizontal="right"/>
    </xf>
    <xf numFmtId="44" fontId="4" fillId="0" borderId="41" xfId="31" applyFont="1" applyBorder="1" applyAlignment="1">
      <alignment horizontal="center"/>
    </xf>
    <xf numFmtId="43" fontId="4" fillId="0" borderId="0" xfId="28" applyFont="1"/>
    <xf numFmtId="0" fontId="98" fillId="0" borderId="0" xfId="0" applyFont="1" applyAlignment="1">
      <alignment horizontal="right"/>
    </xf>
    <xf numFmtId="0" fontId="4" fillId="45" borderId="0" xfId="0" applyFont="1" applyFill="1" applyAlignment="1">
      <alignment horizontal="center"/>
    </xf>
    <xf numFmtId="44" fontId="5" fillId="0" borderId="1" xfId="31" applyBorder="1"/>
    <xf numFmtId="0" fontId="39" fillId="0" borderId="13" xfId="0" applyFont="1" applyBorder="1" applyAlignment="1">
      <alignment horizontal="right"/>
    </xf>
    <xf numFmtId="44" fontId="9" fillId="0" borderId="0" xfId="31" applyFont="1"/>
    <xf numFmtId="0" fontId="39" fillId="0" borderId="102" xfId="0" applyFont="1" applyBorder="1"/>
    <xf numFmtId="0" fontId="39" fillId="0" borderId="65" xfId="0" applyFont="1" applyBorder="1"/>
    <xf numFmtId="0" fontId="39" fillId="0" borderId="8" xfId="0" applyFont="1" applyBorder="1" applyAlignment="1">
      <alignment horizontal="center"/>
    </xf>
    <xf numFmtId="40" fontId="59" fillId="0" borderId="8" xfId="0" applyNumberFormat="1" applyFont="1" applyBorder="1" applyAlignment="1">
      <alignment horizontal="right"/>
    </xf>
    <xf numFmtId="167" fontId="39" fillId="0" borderId="8" xfId="0" applyNumberFormat="1" applyFont="1" applyBorder="1" applyAlignment="1">
      <alignment horizontal="center"/>
    </xf>
    <xf numFmtId="42" fontId="39" fillId="0" borderId="81" xfId="0" applyNumberFormat="1" applyFont="1" applyBorder="1" applyAlignment="1">
      <alignment horizontal="center"/>
    </xf>
    <xf numFmtId="0" fontId="99" fillId="0" borderId="0" xfId="0" applyFont="1" applyAlignment="1">
      <alignment horizontal="left"/>
    </xf>
    <xf numFmtId="0" fontId="10" fillId="0" borderId="0" xfId="0" applyFont="1" applyAlignment="1">
      <alignment horizontal="center"/>
    </xf>
    <xf numFmtId="3" fontId="10" fillId="0" borderId="0" xfId="0" applyNumberFormat="1" applyFont="1"/>
    <xf numFmtId="0" fontId="10" fillId="0" borderId="17" xfId="0" applyFont="1" applyBorder="1" applyAlignment="1">
      <alignment horizontal="center"/>
    </xf>
    <xf numFmtId="4" fontId="10" fillId="0" borderId="6" xfId="0" applyNumberFormat="1" applyFont="1" applyBorder="1" applyAlignment="1">
      <alignment horizontal="center"/>
    </xf>
    <xf numFmtId="4" fontId="10" fillId="0" borderId="32" xfId="0" applyNumberFormat="1" applyFont="1" applyBorder="1" applyAlignment="1">
      <alignment horizontal="center"/>
    </xf>
    <xf numFmtId="17" fontId="10" fillId="46" borderId="23" xfId="0" applyNumberFormat="1" applyFont="1" applyFill="1" applyBorder="1" applyAlignment="1">
      <alignment horizontal="left"/>
    </xf>
    <xf numFmtId="0" fontId="8" fillId="46" borderId="13" xfId="0" applyFont="1" applyFill="1" applyBorder="1" applyAlignment="1">
      <alignment horizontal="center"/>
    </xf>
    <xf numFmtId="49" fontId="8" fillId="46" borderId="13" xfId="0" applyNumberFormat="1" applyFont="1" applyFill="1" applyBorder="1" applyAlignment="1">
      <alignment horizontal="center"/>
    </xf>
    <xf numFmtId="3" fontId="8" fillId="46" borderId="1" xfId="0" applyNumberFormat="1" applyFont="1" applyFill="1" applyBorder="1" applyAlignment="1">
      <alignment horizontal="center"/>
    </xf>
    <xf numFmtId="3" fontId="16" fillId="46" borderId="29" xfId="0" applyNumberFormat="1" applyFont="1" applyFill="1" applyBorder="1" applyAlignment="1">
      <alignment horizontal="center"/>
    </xf>
    <xf numFmtId="3" fontId="15" fillId="46" borderId="37" xfId="0" applyNumberFormat="1" applyFont="1" applyFill="1" applyBorder="1" applyAlignment="1">
      <alignment horizontal="center"/>
    </xf>
    <xf numFmtId="3" fontId="10" fillId="46" borderId="1" xfId="0" applyNumberFormat="1" applyFont="1" applyFill="1" applyBorder="1" applyAlignment="1">
      <alignment horizontal="center"/>
    </xf>
    <xf numFmtId="3" fontId="10" fillId="46" borderId="5" xfId="0" applyNumberFormat="1" applyFont="1" applyFill="1" applyBorder="1" applyAlignment="1">
      <alignment horizontal="center"/>
    </xf>
    <xf numFmtId="3" fontId="15" fillId="46" borderId="29" xfId="0" applyNumberFormat="1" applyFont="1" applyFill="1" applyBorder="1" applyAlignment="1">
      <alignment horizontal="center"/>
    </xf>
    <xf numFmtId="3" fontId="10" fillId="46" borderId="29" xfId="0" applyNumberFormat="1" applyFont="1" applyFill="1" applyBorder="1" applyAlignment="1">
      <alignment horizontal="center"/>
    </xf>
    <xf numFmtId="3" fontId="11" fillId="46" borderId="29" xfId="0" applyNumberFormat="1" applyFont="1" applyFill="1" applyBorder="1" applyAlignment="1">
      <alignment horizontal="center"/>
    </xf>
    <xf numFmtId="17" fontId="10" fillId="0" borderId="103" xfId="0" applyNumberFormat="1" applyFont="1" applyBorder="1" applyAlignment="1">
      <alignment horizontal="left"/>
    </xf>
    <xf numFmtId="0" fontId="68" fillId="47" borderId="11" xfId="0" applyFont="1" applyFill="1" applyBorder="1"/>
    <xf numFmtId="3" fontId="8" fillId="47" borderId="1" xfId="0" applyNumberFormat="1" applyFont="1" applyFill="1" applyBorder="1" applyAlignment="1">
      <alignment horizontal="center"/>
    </xf>
    <xf numFmtId="41" fontId="41" fillId="0" borderId="3" xfId="0" applyNumberFormat="1" applyFont="1" applyBorder="1" applyAlignment="1">
      <alignment horizontal="center"/>
    </xf>
    <xf numFmtId="1" fontId="41" fillId="0" borderId="12" xfId="0" applyNumberFormat="1" applyFont="1" applyBorder="1" applyAlignment="1">
      <alignment horizontal="center"/>
    </xf>
    <xf numFmtId="17" fontId="40" fillId="0" borderId="11" xfId="0" applyNumberFormat="1" applyFont="1" applyBorder="1" applyAlignment="1">
      <alignment horizontal="center" vertical="center"/>
    </xf>
    <xf numFmtId="0" fontId="85" fillId="0" borderId="104" xfId="0" applyFont="1" applyBorder="1" applyAlignment="1">
      <alignment horizontal="center" vertical="top" wrapText="1"/>
    </xf>
    <xf numFmtId="0" fontId="85" fillId="0" borderId="105" xfId="0" applyFont="1" applyBorder="1" applyAlignment="1">
      <alignment horizontal="center" vertical="top" wrapText="1"/>
    </xf>
    <xf numFmtId="0" fontId="85" fillId="0" borderId="106" xfId="0" applyFont="1" applyBorder="1" applyAlignment="1">
      <alignment horizontal="center" vertical="top" wrapText="1"/>
    </xf>
    <xf numFmtId="0" fontId="0" fillId="0" borderId="107" xfId="0" applyBorder="1" applyAlignment="1">
      <alignment vertical="top" wrapText="1"/>
    </xf>
    <xf numFmtId="1" fontId="0" fillId="0" borderId="108" xfId="0" applyNumberFormat="1" applyBorder="1" applyAlignment="1">
      <alignment vertical="top" wrapText="1"/>
    </xf>
    <xf numFmtId="1" fontId="0" fillId="0" borderId="109" xfId="0" applyNumberFormat="1" applyBorder="1" applyAlignment="1">
      <alignment vertical="top" wrapText="1"/>
    </xf>
    <xf numFmtId="0" fontId="85" fillId="47" borderId="110" xfId="0" applyFont="1" applyFill="1" applyBorder="1" applyAlignment="1">
      <alignment vertical="top" wrapText="1"/>
    </xf>
    <xf numFmtId="166" fontId="85" fillId="47" borderId="1" xfId="28" applyNumberFormat="1" applyFont="1" applyFill="1" applyBorder="1" applyAlignment="1">
      <alignment vertical="top" wrapText="1"/>
    </xf>
    <xf numFmtId="44" fontId="5" fillId="47" borderId="1" xfId="31" applyFill="1" applyBorder="1" applyAlignment="1">
      <alignment horizontal="center" vertical="center"/>
    </xf>
    <xf numFmtId="44" fontId="43" fillId="47" borderId="1" xfId="31" applyFont="1" applyFill="1" applyBorder="1" applyAlignment="1">
      <alignment horizontal="center"/>
    </xf>
    <xf numFmtId="44" fontId="5" fillId="47" borderId="0" xfId="31" applyFill="1" applyAlignment="1">
      <alignment horizontal="right"/>
    </xf>
    <xf numFmtId="44" fontId="50" fillId="47" borderId="58" xfId="0" applyNumberFormat="1" applyFont="1" applyFill="1" applyBorder="1" applyAlignment="1">
      <alignment horizontal="right"/>
    </xf>
    <xf numFmtId="44" fontId="4" fillId="47" borderId="48" xfId="31" applyFont="1" applyFill="1" applyBorder="1" applyAlignment="1">
      <alignment horizontal="right"/>
    </xf>
    <xf numFmtId="0" fontId="5" fillId="0" borderId="0" xfId="0" applyFont="1" applyAlignment="1">
      <alignment horizontal="left"/>
    </xf>
    <xf numFmtId="44" fontId="4" fillId="47" borderId="1" xfId="31" applyFont="1" applyFill="1" applyBorder="1" applyAlignment="1">
      <alignment horizontal="center" vertical="center"/>
    </xf>
    <xf numFmtId="0" fontId="101" fillId="0" borderId="0" xfId="0" applyFont="1"/>
    <xf numFmtId="170" fontId="50" fillId="47" borderId="0" xfId="0" applyNumberFormat="1" applyFont="1" applyFill="1"/>
    <xf numFmtId="44" fontId="57" fillId="47" borderId="41" xfId="31" applyFont="1" applyFill="1" applyBorder="1" applyAlignment="1">
      <alignment horizontal="right" vertical="center"/>
    </xf>
    <xf numFmtId="171" fontId="54" fillId="47" borderId="2" xfId="0" applyNumberFormat="1" applyFont="1" applyFill="1" applyBorder="1" applyAlignment="1">
      <alignment horizontal="right"/>
    </xf>
    <xf numFmtId="170" fontId="54" fillId="47" borderId="2" xfId="0" applyNumberFormat="1" applyFont="1" applyFill="1" applyBorder="1" applyAlignment="1">
      <alignment horizontal="right"/>
    </xf>
    <xf numFmtId="44" fontId="47" fillId="47" borderId="7" xfId="0" applyNumberFormat="1" applyFont="1" applyFill="1" applyBorder="1" applyAlignment="1">
      <alignment horizontal="center" wrapText="1"/>
    </xf>
    <xf numFmtId="3" fontId="57" fillId="47" borderId="0" xfId="0" applyNumberFormat="1" applyFont="1" applyFill="1" applyAlignment="1">
      <alignment horizontal="center" vertical="center"/>
    </xf>
    <xf numFmtId="3" fontId="42" fillId="0" borderId="0" xfId="0" applyNumberFormat="1" applyFont="1" applyAlignment="1">
      <alignment horizontal="center"/>
    </xf>
    <xf numFmtId="3" fontId="43" fillId="0" borderId="0" xfId="0" applyNumberFormat="1" applyFont="1" applyAlignment="1">
      <alignment horizontal="center"/>
    </xf>
    <xf numFmtId="0" fontId="4" fillId="47" borderId="2" xfId="0" applyFont="1" applyFill="1" applyBorder="1" applyAlignment="1">
      <alignment horizontal="center" vertical="center"/>
    </xf>
    <xf numFmtId="0" fontId="4" fillId="41" borderId="46" xfId="0" applyFont="1" applyFill="1" applyBorder="1" applyAlignment="1">
      <alignment horizontal="center" vertical="center"/>
    </xf>
    <xf numFmtId="170" fontId="0" fillId="41" borderId="44" xfId="0" applyNumberFormat="1" applyFill="1" applyBorder="1"/>
    <xf numFmtId="44" fontId="4" fillId="47" borderId="2" xfId="0" applyNumberFormat="1" applyFont="1" applyFill="1" applyBorder="1" applyAlignment="1">
      <alignment horizontal="center" vertical="center"/>
    </xf>
    <xf numFmtId="3" fontId="39" fillId="0" borderId="111" xfId="95" applyNumberFormat="1" applyFont="1" applyBorder="1" applyAlignment="1">
      <alignment horizontal="right"/>
    </xf>
    <xf numFmtId="170" fontId="0" fillId="0" borderId="111" xfId="0" applyNumberFormat="1" applyBorder="1"/>
    <xf numFmtId="4" fontId="0" fillId="0" borderId="61" xfId="0" applyNumberFormat="1" applyBorder="1"/>
    <xf numFmtId="3" fontId="39" fillId="0" borderId="111" xfId="0" applyNumberFormat="1" applyFont="1" applyBorder="1" applyAlignment="1">
      <alignment horizontal="right"/>
    </xf>
    <xf numFmtId="4" fontId="0" fillId="0" borderId="48" xfId="0" applyNumberFormat="1" applyBorder="1"/>
    <xf numFmtId="3" fontId="39" fillId="0" borderId="1" xfId="95" applyNumberFormat="1" applyFont="1" applyBorder="1" applyAlignment="1">
      <alignment horizontal="right"/>
    </xf>
    <xf numFmtId="44" fontId="50" fillId="47" borderId="2" xfId="0" applyNumberFormat="1" applyFont="1" applyFill="1" applyBorder="1" applyAlignment="1">
      <alignment horizontal="center"/>
    </xf>
    <xf numFmtId="167" fontId="54" fillId="47" borderId="33" xfId="0" applyNumberFormat="1" applyFont="1" applyFill="1" applyBorder="1" applyAlignment="1">
      <alignment horizontal="center"/>
    </xf>
    <xf numFmtId="167" fontId="54" fillId="47" borderId="84" xfId="0" applyNumberFormat="1" applyFont="1" applyFill="1" applyBorder="1" applyAlignment="1">
      <alignment horizontal="center"/>
    </xf>
    <xf numFmtId="3" fontId="4" fillId="47" borderId="1" xfId="0" applyNumberFormat="1" applyFont="1" applyFill="1" applyBorder="1" applyAlignment="1">
      <alignment horizontal="center"/>
    </xf>
    <xf numFmtId="17" fontId="42" fillId="0" borderId="65" xfId="0" applyNumberFormat="1" applyFont="1" applyBorder="1" applyAlignment="1">
      <alignment horizontal="left"/>
    </xf>
    <xf numFmtId="3" fontId="42" fillId="0" borderId="65" xfId="0" applyNumberFormat="1" applyFont="1" applyBorder="1" applyAlignment="1">
      <alignment horizontal="center"/>
    </xf>
    <xf numFmtId="3" fontId="43" fillId="0" borderId="65" xfId="0" applyNumberFormat="1" applyFont="1" applyBorder="1" applyAlignment="1">
      <alignment horizontal="center"/>
    </xf>
    <xf numFmtId="0" fontId="11" fillId="0" borderId="0" xfId="0" applyFont="1" applyAlignment="1">
      <alignment horizontal="center" vertical="top" wrapText="1"/>
    </xf>
    <xf numFmtId="0" fontId="68" fillId="48" borderId="11" xfId="0" applyFont="1" applyFill="1" applyBorder="1"/>
    <xf numFmtId="17" fontId="10" fillId="48" borderId="22" xfId="0" applyNumberFormat="1" applyFont="1" applyFill="1" applyBorder="1" applyAlignment="1">
      <alignment horizontal="left"/>
    </xf>
    <xf numFmtId="0" fontId="8" fillId="48" borderId="12" xfId="0" quotePrefix="1" applyFont="1" applyFill="1" applyBorder="1" applyAlignment="1">
      <alignment horizontal="center"/>
    </xf>
    <xf numFmtId="49" fontId="8" fillId="48" borderId="12" xfId="0" applyNumberFormat="1" applyFont="1" applyFill="1" applyBorder="1" applyAlignment="1">
      <alignment horizontal="center"/>
    </xf>
    <xf numFmtId="3" fontId="8" fillId="48" borderId="3" xfId="0" applyNumberFormat="1" applyFont="1" applyFill="1" applyBorder="1" applyAlignment="1">
      <alignment horizontal="center"/>
    </xf>
    <xf numFmtId="3" fontId="16" fillId="48" borderId="29" xfId="0" applyNumberFormat="1" applyFont="1" applyFill="1" applyBorder="1" applyAlignment="1">
      <alignment horizontal="center"/>
    </xf>
    <xf numFmtId="3" fontId="15" fillId="48" borderId="37" xfId="0" applyNumberFormat="1" applyFont="1" applyFill="1" applyBorder="1" applyAlignment="1">
      <alignment horizontal="center"/>
    </xf>
    <xf numFmtId="3" fontId="10" fillId="48" borderId="3" xfId="0" applyNumberFormat="1" applyFont="1" applyFill="1" applyBorder="1" applyAlignment="1">
      <alignment horizontal="center"/>
    </xf>
    <xf numFmtId="3" fontId="10" fillId="48" borderId="4" xfId="0" applyNumberFormat="1" applyFont="1" applyFill="1" applyBorder="1" applyAlignment="1">
      <alignment horizontal="center"/>
    </xf>
    <xf numFmtId="3" fontId="15" fillId="48" borderId="29" xfId="0" applyNumberFormat="1" applyFont="1" applyFill="1" applyBorder="1" applyAlignment="1">
      <alignment horizontal="center"/>
    </xf>
    <xf numFmtId="3" fontId="10" fillId="48" borderId="29" xfId="0" applyNumberFormat="1" applyFont="1" applyFill="1" applyBorder="1" applyAlignment="1">
      <alignment horizontal="center"/>
    </xf>
    <xf numFmtId="3" fontId="11" fillId="48" borderId="29" xfId="0" applyNumberFormat="1" applyFont="1" applyFill="1" applyBorder="1" applyAlignment="1">
      <alignment horizontal="center"/>
    </xf>
    <xf numFmtId="0" fontId="0" fillId="41" borderId="0" xfId="0" applyFill="1" applyAlignment="1">
      <alignment wrapText="1"/>
    </xf>
    <xf numFmtId="0" fontId="28" fillId="41" borderId="0" xfId="0" applyFont="1" applyFill="1"/>
    <xf numFmtId="0" fontId="28" fillId="41" borderId="0" xfId="0" applyFont="1" applyFill="1" applyAlignment="1">
      <alignment horizontal="right"/>
    </xf>
    <xf numFmtId="0" fontId="5" fillId="41" borderId="0" xfId="0" applyFont="1" applyFill="1" applyAlignment="1">
      <alignment wrapText="1"/>
    </xf>
    <xf numFmtId="0" fontId="29" fillId="41" borderId="0" xfId="0" applyFont="1" applyFill="1"/>
    <xf numFmtId="0" fontId="0" fillId="41" borderId="0" xfId="0" applyFill="1"/>
    <xf numFmtId="1" fontId="0" fillId="41" borderId="0" xfId="0" applyNumberFormat="1" applyFill="1"/>
    <xf numFmtId="10" fontId="0" fillId="41" borderId="0" xfId="0" applyNumberFormat="1" applyFill="1"/>
    <xf numFmtId="0" fontId="5" fillId="41" borderId="0" xfId="0" applyFont="1" applyFill="1"/>
    <xf numFmtId="166" fontId="24" fillId="0" borderId="0" xfId="28" applyNumberFormat="1" applyFont="1"/>
    <xf numFmtId="0" fontId="100" fillId="0" borderId="0" xfId="0" applyFont="1"/>
    <xf numFmtId="44" fontId="53" fillId="49" borderId="41" xfId="31" applyFont="1" applyFill="1" applyBorder="1" applyAlignment="1">
      <alignment horizontal="right"/>
    </xf>
    <xf numFmtId="0" fontId="43" fillId="0" borderId="3" xfId="0" applyFont="1" applyBorder="1"/>
    <xf numFmtId="8" fontId="42" fillId="0" borderId="69" xfId="0" applyNumberFormat="1" applyFont="1" applyBorder="1"/>
    <xf numFmtId="6" fontId="42" fillId="0" borderId="69" xfId="0" applyNumberFormat="1" applyFont="1" applyBorder="1" applyAlignment="1">
      <alignment horizontal="center"/>
    </xf>
    <xf numFmtId="42" fontId="42" fillId="0" borderId="15" xfId="0" applyNumberFormat="1" applyFont="1" applyBorder="1" applyAlignment="1">
      <alignment horizontal="center"/>
    </xf>
    <xf numFmtId="44" fontId="43" fillId="47" borderId="33" xfId="31" applyFont="1" applyFill="1" applyBorder="1" applyAlignment="1">
      <alignment horizontal="center"/>
    </xf>
    <xf numFmtId="167" fontId="42" fillId="0" borderId="3" xfId="0" applyNumberFormat="1" applyFont="1" applyBorder="1" applyAlignment="1">
      <alignment horizontal="center"/>
    </xf>
    <xf numFmtId="164" fontId="42" fillId="0" borderId="33" xfId="0" applyNumberFormat="1" applyFont="1" applyBorder="1" applyAlignment="1">
      <alignment horizontal="center"/>
    </xf>
    <xf numFmtId="167" fontId="42" fillId="0" borderId="33" xfId="0" applyNumberFormat="1" applyFont="1" applyBorder="1" applyAlignment="1">
      <alignment horizontal="center"/>
    </xf>
    <xf numFmtId="8" fontId="42" fillId="0" borderId="12" xfId="0" applyNumberFormat="1" applyFont="1" applyBorder="1"/>
    <xf numFmtId="0" fontId="46" fillId="0" borderId="57" xfId="0" applyFont="1" applyBorder="1" applyAlignment="1">
      <alignment horizontal="left"/>
    </xf>
    <xf numFmtId="44" fontId="5" fillId="47" borderId="73" xfId="31" applyFill="1" applyBorder="1" applyAlignment="1">
      <alignment horizontal="right"/>
    </xf>
    <xf numFmtId="0" fontId="46" fillId="0" borderId="13" xfId="0" applyFont="1" applyBorder="1" applyAlignment="1">
      <alignment horizontal="left"/>
    </xf>
    <xf numFmtId="44" fontId="5" fillId="0" borderId="0" xfId="31" applyFont="1"/>
    <xf numFmtId="44" fontId="4" fillId="0" borderId="0" xfId="28" applyNumberFormat="1" applyFont="1"/>
    <xf numFmtId="44" fontId="94" fillId="0" borderId="0" xfId="0" applyNumberFormat="1" applyFont="1"/>
    <xf numFmtId="0" fontId="41" fillId="0" borderId="112" xfId="0" applyFont="1" applyBorder="1"/>
    <xf numFmtId="0" fontId="41" fillId="0" borderId="113" xfId="0" applyFont="1" applyBorder="1" applyAlignment="1">
      <alignment horizontal="center"/>
    </xf>
    <xf numFmtId="44" fontId="41" fillId="0" borderId="114" xfId="31" applyFont="1" applyBorder="1" applyAlignment="1">
      <alignment horizontal="center"/>
    </xf>
    <xf numFmtId="170" fontId="41" fillId="0" borderId="114" xfId="0" applyNumberFormat="1" applyFont="1" applyBorder="1"/>
    <xf numFmtId="0" fontId="41" fillId="0" borderId="115" xfId="0" applyFont="1" applyBorder="1"/>
    <xf numFmtId="0" fontId="41" fillId="0" borderId="116" xfId="0" applyFont="1" applyBorder="1" applyAlignment="1">
      <alignment horizontal="center"/>
    </xf>
    <xf numFmtId="44" fontId="41" fillId="0" borderId="117" xfId="31" applyFont="1" applyBorder="1" applyAlignment="1">
      <alignment horizontal="center"/>
    </xf>
    <xf numFmtId="170" fontId="41" fillId="0" borderId="117" xfId="0" applyNumberFormat="1" applyFont="1" applyBorder="1"/>
    <xf numFmtId="0" fontId="41" fillId="0" borderId="118" xfId="0" applyFont="1" applyBorder="1"/>
    <xf numFmtId="0" fontId="41" fillId="0" borderId="119" xfId="0" applyFont="1" applyBorder="1" applyAlignment="1">
      <alignment horizontal="center"/>
    </xf>
    <xf numFmtId="44" fontId="41" fillId="0" borderId="120" xfId="31" applyFont="1" applyBorder="1" applyAlignment="1">
      <alignment horizontal="center"/>
    </xf>
    <xf numFmtId="170" fontId="41" fillId="0" borderId="120" xfId="0" applyNumberFormat="1" applyFont="1" applyBorder="1"/>
    <xf numFmtId="44" fontId="98" fillId="0" borderId="1" xfId="31" applyFont="1" applyBorder="1" applyAlignment="1">
      <alignment horizontal="right"/>
    </xf>
    <xf numFmtId="44" fontId="92" fillId="0" borderId="1" xfId="31" applyFont="1" applyBorder="1" applyAlignment="1">
      <alignment horizontal="right"/>
    </xf>
    <xf numFmtId="44" fontId="4" fillId="0" borderId="0" xfId="31" applyFont="1" applyAlignment="1">
      <alignment horizontal="right"/>
    </xf>
    <xf numFmtId="44" fontId="54" fillId="0" borderId="0" xfId="0" applyNumberFormat="1" applyFont="1"/>
    <xf numFmtId="0" fontId="35" fillId="0" borderId="0" xfId="0" applyFont="1"/>
    <xf numFmtId="40" fontId="39" fillId="0" borderId="1" xfId="0" applyNumberFormat="1" applyFont="1" applyBorder="1" applyAlignment="1">
      <alignment horizontal="right"/>
    </xf>
    <xf numFmtId="44" fontId="50" fillId="0" borderId="0" xfId="0" applyNumberFormat="1" applyFont="1" applyAlignment="1">
      <alignment horizontal="center"/>
    </xf>
    <xf numFmtId="44" fontId="63" fillId="0" borderId="1" xfId="31" applyFont="1" applyFill="1" applyBorder="1"/>
    <xf numFmtId="0" fontId="102" fillId="0" borderId="0" xfId="62" applyFont="1"/>
    <xf numFmtId="1" fontId="0" fillId="0" borderId="121" xfId="0" applyNumberFormat="1" applyBorder="1" applyAlignment="1">
      <alignment vertical="top" wrapText="1"/>
    </xf>
    <xf numFmtId="1" fontId="0" fillId="0" borderId="122" xfId="0" applyNumberFormat="1" applyBorder="1" applyAlignment="1">
      <alignment vertical="top" wrapText="1"/>
    </xf>
    <xf numFmtId="1" fontId="85" fillId="47" borderId="123" xfId="0" applyNumberFormat="1" applyFont="1" applyFill="1" applyBorder="1" applyAlignment="1">
      <alignment vertical="top" wrapText="1"/>
    </xf>
    <xf numFmtId="1" fontId="85" fillId="47" borderId="124" xfId="0" applyNumberFormat="1" applyFont="1" applyFill="1" applyBorder="1" applyAlignment="1">
      <alignment vertical="top" wrapText="1"/>
    </xf>
    <xf numFmtId="1" fontId="0" fillId="0" borderId="125" xfId="0" applyNumberFormat="1" applyBorder="1" applyAlignment="1">
      <alignment vertical="top" wrapText="1"/>
    </xf>
    <xf numFmtId="44" fontId="34" fillId="0" borderId="1" xfId="31" applyFont="1" applyFill="1" applyBorder="1"/>
    <xf numFmtId="44" fontId="40" fillId="42" borderId="101" xfId="31" applyFont="1" applyFill="1" applyBorder="1"/>
    <xf numFmtId="167" fontId="47" fillId="0" borderId="1" xfId="0" applyNumberFormat="1" applyFont="1" applyBorder="1" applyAlignment="1">
      <alignment horizontal="center"/>
    </xf>
    <xf numFmtId="43" fontId="5" fillId="0" borderId="0" xfId="28" applyFont="1"/>
    <xf numFmtId="0" fontId="43" fillId="0" borderId="33" xfId="0" applyFont="1" applyBorder="1"/>
    <xf numFmtId="8" fontId="43" fillId="0" borderId="33" xfId="0" applyNumberFormat="1" applyFont="1" applyBorder="1"/>
    <xf numFmtId="8" fontId="43" fillId="0" borderId="33" xfId="0" applyNumberFormat="1" applyFont="1" applyBorder="1" applyAlignment="1">
      <alignment horizontal="center"/>
    </xf>
    <xf numFmtId="42" fontId="43" fillId="0" borderId="33" xfId="0" applyNumberFormat="1" applyFont="1" applyBorder="1" applyAlignment="1">
      <alignment horizontal="center"/>
    </xf>
    <xf numFmtId="44" fontId="43" fillId="0" borderId="33" xfId="31" applyFont="1" applyFill="1" applyBorder="1" applyAlignment="1">
      <alignment horizontal="center"/>
    </xf>
    <xf numFmtId="44" fontId="5" fillId="0" borderId="64" xfId="31" applyFill="1" applyBorder="1" applyAlignment="1">
      <alignment horizontal="right"/>
    </xf>
    <xf numFmtId="44" fontId="5" fillId="0" borderId="3" xfId="31" applyFill="1" applyBorder="1" applyAlignment="1">
      <alignment horizontal="right"/>
    </xf>
    <xf numFmtId="44" fontId="5" fillId="0" borderId="1" xfId="31" applyFill="1" applyBorder="1" applyAlignment="1">
      <alignment horizontal="right"/>
    </xf>
    <xf numFmtId="44" fontId="4" fillId="0" borderId="1" xfId="31" applyFont="1" applyFill="1" applyBorder="1" applyAlignment="1">
      <alignment horizontal="right"/>
    </xf>
    <xf numFmtId="44" fontId="4" fillId="0" borderId="8" xfId="31" applyFont="1" applyFill="1" applyBorder="1" applyAlignment="1">
      <alignment horizontal="right"/>
    </xf>
    <xf numFmtId="44" fontId="5" fillId="0" borderId="15" xfId="31" applyFill="1" applyBorder="1" applyAlignment="1">
      <alignment horizontal="right"/>
    </xf>
    <xf numFmtId="44" fontId="5" fillId="0" borderId="33" xfId="31" applyFill="1" applyBorder="1" applyAlignment="1">
      <alignment horizontal="right"/>
    </xf>
    <xf numFmtId="44" fontId="5" fillId="0" borderId="1" xfId="31" applyFill="1" applyBorder="1" applyAlignment="1">
      <alignment horizontal="center" vertical="center"/>
    </xf>
    <xf numFmtId="169" fontId="41" fillId="0" borderId="1" xfId="31" applyNumberFormat="1" applyFont="1" applyBorder="1" applyAlignment="1">
      <alignment horizontal="center"/>
    </xf>
    <xf numFmtId="0" fontId="50" fillId="0" borderId="73" xfId="0" applyFont="1" applyBorder="1" applyAlignment="1">
      <alignment horizontal="center" vertical="center"/>
    </xf>
    <xf numFmtId="0" fontId="50" fillId="0" borderId="16" xfId="0" applyFont="1" applyBorder="1" applyAlignment="1">
      <alignment horizontal="center" vertical="top"/>
    </xf>
    <xf numFmtId="0" fontId="40" fillId="0" borderId="85" xfId="0" applyFont="1" applyBorder="1" applyAlignment="1">
      <alignment horizontal="center"/>
    </xf>
    <xf numFmtId="0" fontId="40" fillId="0" borderId="71" xfId="0" applyFont="1" applyBorder="1" applyAlignment="1">
      <alignment horizontal="center"/>
    </xf>
    <xf numFmtId="0" fontId="40" fillId="0" borderId="38" xfId="0" applyFont="1" applyBorder="1" applyAlignment="1">
      <alignment horizontal="center"/>
    </xf>
    <xf numFmtId="0" fontId="44" fillId="0" borderId="50" xfId="0" applyFont="1" applyBorder="1" applyAlignment="1">
      <alignment horizontal="left" wrapText="1"/>
    </xf>
    <xf numFmtId="0" fontId="40" fillId="0" borderId="85" xfId="0" applyFont="1" applyBorder="1" applyAlignment="1">
      <alignment horizontal="center" vertical="center"/>
    </xf>
    <xf numFmtId="0" fontId="40" fillId="0" borderId="71" xfId="0" applyFont="1" applyBorder="1" applyAlignment="1">
      <alignment horizontal="center" vertical="center"/>
    </xf>
    <xf numFmtId="0" fontId="40" fillId="0" borderId="38" xfId="0" applyFont="1" applyBorder="1" applyAlignment="1">
      <alignment horizontal="center" vertical="center"/>
    </xf>
    <xf numFmtId="0" fontId="50" fillId="0" borderId="0" xfId="0" applyFont="1" applyAlignment="1">
      <alignment horizontal="center"/>
    </xf>
    <xf numFmtId="0" fontId="50" fillId="0" borderId="73" xfId="0" applyFont="1" applyBorder="1" applyAlignment="1">
      <alignment horizontal="center" vertical="top"/>
    </xf>
    <xf numFmtId="0" fontId="53" fillId="0" borderId="73" xfId="0" applyFont="1" applyBorder="1" applyAlignment="1">
      <alignment horizontal="center" vertical="center"/>
    </xf>
    <xf numFmtId="8" fontId="53" fillId="0" borderId="72" xfId="0" applyNumberFormat="1" applyFont="1" applyBorder="1" applyAlignment="1">
      <alignment horizontal="center"/>
    </xf>
    <xf numFmtId="8" fontId="53" fillId="0" borderId="67" xfId="0" applyNumberFormat="1" applyFont="1" applyBorder="1" applyAlignment="1">
      <alignment horizontal="center"/>
    </xf>
    <xf numFmtId="0" fontId="5" fillId="0" borderId="40" xfId="0" applyFont="1" applyBorder="1" applyAlignment="1">
      <alignment horizontal="center" vertical="center" wrapText="1"/>
    </xf>
    <xf numFmtId="0" fontId="5" fillId="0" borderId="46" xfId="0" applyFont="1" applyBorder="1" applyAlignment="1">
      <alignment horizontal="center" vertical="center" wrapText="1"/>
    </xf>
    <xf numFmtId="44" fontId="5" fillId="0" borderId="40" xfId="31" applyBorder="1" applyAlignment="1">
      <alignment horizontal="center" vertical="center" wrapText="1"/>
    </xf>
    <xf numFmtId="44" fontId="5" fillId="0" borderId="46" xfId="31" applyBorder="1" applyAlignment="1">
      <alignment horizontal="center" vertical="center" wrapText="1"/>
    </xf>
    <xf numFmtId="0" fontId="5" fillId="0" borderId="73" xfId="0" applyFont="1" applyBorder="1" applyAlignment="1">
      <alignment horizontal="center" vertical="center"/>
    </xf>
    <xf numFmtId="0" fontId="4" fillId="0" borderId="73" xfId="0" applyFont="1" applyBorder="1" applyAlignment="1">
      <alignment horizontal="center" vertical="center"/>
    </xf>
    <xf numFmtId="44" fontId="24" fillId="0" borderId="40" xfId="31" applyFont="1" applyBorder="1" applyAlignment="1">
      <alignment horizontal="center" vertical="center" wrapText="1"/>
    </xf>
    <xf numFmtId="44" fontId="24" fillId="0" borderId="46" xfId="31" applyFont="1" applyBorder="1" applyAlignment="1">
      <alignment horizontal="center" vertical="center" wrapText="1"/>
    </xf>
    <xf numFmtId="0" fontId="5" fillId="0" borderId="89" xfId="0" applyFont="1" applyBorder="1" applyAlignment="1">
      <alignment horizontal="left"/>
    </xf>
    <xf numFmtId="0" fontId="5" fillId="0" borderId="90" xfId="0" applyFont="1" applyBorder="1" applyAlignment="1">
      <alignment horizontal="left"/>
    </xf>
    <xf numFmtId="0" fontId="5" fillId="0" borderId="87" xfId="0" applyFont="1" applyBorder="1" applyAlignment="1">
      <alignment horizontal="left" vertical="center" wrapText="1"/>
    </xf>
    <xf numFmtId="0" fontId="5" fillId="0" borderId="88" xfId="0" applyFont="1" applyBorder="1" applyAlignment="1">
      <alignment horizontal="left" vertical="center" wrapText="1"/>
    </xf>
    <xf numFmtId="0" fontId="5" fillId="0" borderId="63" xfId="0" applyFont="1" applyBorder="1" applyAlignment="1">
      <alignment horizontal="left" vertical="center" wrapText="1"/>
    </xf>
    <xf numFmtId="0" fontId="5" fillId="0" borderId="19" xfId="0" applyFont="1" applyBorder="1" applyAlignment="1">
      <alignment horizontal="left" vertical="center" wrapText="1"/>
    </xf>
    <xf numFmtId="0" fontId="24" fillId="0" borderId="40" xfId="0" applyFont="1" applyBorder="1" applyAlignment="1">
      <alignment horizontal="center" vertical="center" wrapText="1"/>
    </xf>
    <xf numFmtId="0" fontId="24" fillId="0" borderId="46" xfId="0" applyFont="1" applyBorder="1" applyAlignment="1">
      <alignment horizontal="center" vertical="center" wrapText="1"/>
    </xf>
    <xf numFmtId="0" fontId="5" fillId="0" borderId="87" xfId="0" applyFont="1" applyBorder="1" applyAlignment="1">
      <alignment horizontal="left" wrapText="1"/>
    </xf>
    <xf numFmtId="0" fontId="5" fillId="0" borderId="88" xfId="0" applyFont="1" applyBorder="1" applyAlignment="1">
      <alignment horizontal="left" wrapText="1"/>
    </xf>
    <xf numFmtId="0" fontId="5" fillId="0" borderId="5" xfId="0" applyFont="1" applyBorder="1" applyAlignment="1">
      <alignment horizontal="left"/>
    </xf>
    <xf numFmtId="0" fontId="5" fillId="0" borderId="13" xfId="0" applyFont="1" applyBorder="1" applyAlignment="1">
      <alignment horizontal="left"/>
    </xf>
    <xf numFmtId="0" fontId="4" fillId="0" borderId="5" xfId="0" applyFont="1" applyBorder="1" applyAlignment="1">
      <alignment horizontal="left"/>
    </xf>
    <xf numFmtId="0" fontId="4" fillId="0" borderId="13" xfId="0" applyFont="1" applyBorder="1" applyAlignment="1">
      <alignment horizontal="left"/>
    </xf>
    <xf numFmtId="0" fontId="5" fillId="0" borderId="34" xfId="0" applyFont="1" applyBorder="1" applyAlignment="1">
      <alignment horizontal="left"/>
    </xf>
    <xf numFmtId="0" fontId="5" fillId="0" borderId="15" xfId="0" applyFont="1" applyBorder="1" applyAlignment="1">
      <alignment horizontal="left"/>
    </xf>
    <xf numFmtId="0" fontId="57" fillId="0" borderId="16" xfId="0" applyFont="1" applyBorder="1" applyAlignment="1">
      <alignment horizontal="center" vertical="center"/>
    </xf>
    <xf numFmtId="0" fontId="40" fillId="0" borderId="0" xfId="0" applyFont="1" applyAlignment="1">
      <alignment horizontal="center"/>
    </xf>
    <xf numFmtId="42" fontId="40" fillId="0" borderId="0" xfId="0" applyNumberFormat="1" applyFont="1" applyAlignment="1">
      <alignment horizontal="center"/>
    </xf>
    <xf numFmtId="0" fontId="40" fillId="0" borderId="73" xfId="0" applyFont="1" applyBorder="1" applyAlignment="1">
      <alignment horizontal="center"/>
    </xf>
    <xf numFmtId="0" fontId="40" fillId="0" borderId="0" xfId="0" applyFont="1" applyAlignment="1">
      <alignment horizontal="center" vertical="center"/>
    </xf>
    <xf numFmtId="0" fontId="43" fillId="0" borderId="73" xfId="0" applyFont="1" applyBorder="1" applyAlignment="1">
      <alignment horizontal="center" vertical="center"/>
    </xf>
    <xf numFmtId="0" fontId="46" fillId="0" borderId="57" xfId="0" applyFont="1" applyBorder="1" applyAlignment="1">
      <alignment horizontal="left"/>
    </xf>
    <xf numFmtId="0" fontId="46" fillId="0" borderId="13" xfId="0" applyFont="1" applyBorder="1" applyAlignment="1">
      <alignment horizontal="left"/>
    </xf>
    <xf numFmtId="0" fontId="50" fillId="0" borderId="16" xfId="0" applyFont="1" applyBorder="1" applyAlignment="1">
      <alignment horizontal="center" vertical="center"/>
    </xf>
    <xf numFmtId="0" fontId="35" fillId="0" borderId="83" xfId="0" applyFont="1" applyBorder="1" applyAlignment="1">
      <alignment horizontal="left"/>
    </xf>
    <xf numFmtId="0" fontId="54" fillId="0" borderId="67" xfId="0" applyFont="1" applyBorder="1" applyAlignment="1">
      <alignment horizontal="left"/>
    </xf>
    <xf numFmtId="0" fontId="61" fillId="0" borderId="6" xfId="0" applyFont="1" applyBorder="1" applyAlignment="1">
      <alignment horizontal="center" vertical="center" wrapText="1"/>
    </xf>
    <xf numFmtId="0" fontId="54" fillId="0" borderId="85" xfId="0" applyFont="1" applyBorder="1" applyAlignment="1">
      <alignment horizontal="center" vertical="center"/>
    </xf>
    <xf numFmtId="0" fontId="54" fillId="0" borderId="71" xfId="0" applyFont="1" applyBorder="1" applyAlignment="1">
      <alignment horizontal="center" vertical="center"/>
    </xf>
    <xf numFmtId="0" fontId="50" fillId="0" borderId="0" xfId="0" applyFont="1" applyAlignment="1">
      <alignment horizontal="center" vertical="center"/>
    </xf>
    <xf numFmtId="0" fontId="39" fillId="0" borderId="5" xfId="0" applyFont="1" applyBorder="1"/>
    <xf numFmtId="0" fontId="39" fillId="0" borderId="13" xfId="0" applyFont="1" applyBorder="1"/>
    <xf numFmtId="0" fontId="47" fillId="0" borderId="20" xfId="0" applyFont="1" applyBorder="1" applyAlignment="1">
      <alignment horizontal="center" vertical="center"/>
    </xf>
    <xf numFmtId="0" fontId="47" fillId="0" borderId="6" xfId="0" applyFont="1" applyBorder="1" applyAlignment="1">
      <alignment horizontal="center" vertical="center"/>
    </xf>
    <xf numFmtId="3" fontId="47" fillId="0" borderId="6" xfId="0" applyNumberFormat="1" applyFont="1" applyBorder="1" applyAlignment="1">
      <alignment horizontal="center" vertical="center"/>
    </xf>
    <xf numFmtId="0" fontId="53" fillId="0" borderId="40" xfId="0" applyFont="1" applyBorder="1" applyAlignment="1">
      <alignment horizontal="center" vertical="center"/>
    </xf>
    <xf numFmtId="0" fontId="53" fillId="0" borderId="46" xfId="0" applyFont="1" applyBorder="1" applyAlignment="1">
      <alignment horizontal="center" vertical="center"/>
    </xf>
    <xf numFmtId="0" fontId="40" fillId="0" borderId="17" xfId="0" applyFont="1" applyBorder="1" applyAlignment="1">
      <alignment horizontal="center" vertical="center"/>
    </xf>
    <xf numFmtId="0" fontId="40" fillId="0" borderId="50" xfId="0" applyFont="1" applyBorder="1" applyAlignment="1">
      <alignment horizontal="center" vertical="center"/>
    </xf>
    <xf numFmtId="0" fontId="40" fillId="0" borderId="51" xfId="0" applyFont="1" applyBorder="1" applyAlignment="1">
      <alignment horizontal="center" vertical="center"/>
    </xf>
    <xf numFmtId="17" fontId="40" fillId="0" borderId="7" xfId="0" applyNumberFormat="1" applyFont="1" applyBorder="1" applyAlignment="1">
      <alignment horizontal="center" vertical="center" wrapText="1"/>
    </xf>
    <xf numFmtId="17" fontId="40" fillId="0" borderId="39" xfId="0" applyNumberFormat="1" applyFont="1" applyBorder="1" applyAlignment="1">
      <alignment horizontal="center" vertical="center" wrapText="1"/>
    </xf>
    <xf numFmtId="0" fontId="40" fillId="0" borderId="7" xfId="0" applyFont="1" applyBorder="1" applyAlignment="1">
      <alignment horizontal="center" vertical="center" wrapText="1"/>
    </xf>
    <xf numFmtId="0" fontId="40" fillId="0" borderId="39" xfId="0" applyFont="1" applyBorder="1" applyAlignment="1">
      <alignment horizontal="center" vertical="center" wrapText="1"/>
    </xf>
    <xf numFmtId="0" fontId="87" fillId="0" borderId="0" xfId="0" applyFont="1" applyAlignment="1">
      <alignment horizontal="center" vertical="top" wrapText="1"/>
    </xf>
    <xf numFmtId="17" fontId="19" fillId="0" borderId="7" xfId="0" applyNumberFormat="1" applyFont="1" applyBorder="1" applyAlignment="1">
      <alignment horizontal="center" wrapText="1"/>
    </xf>
    <xf numFmtId="17" fontId="19" fillId="0" borderId="39" xfId="0" applyNumberFormat="1" applyFont="1" applyBorder="1" applyAlignment="1">
      <alignment horizontal="center" wrapText="1"/>
    </xf>
    <xf numFmtId="17" fontId="14" fillId="0" borderId="7" xfId="0" applyNumberFormat="1" applyFont="1" applyBorder="1" applyAlignment="1">
      <alignment horizontal="center" wrapText="1"/>
    </xf>
    <xf numFmtId="17" fontId="14" fillId="0" borderId="39" xfId="0" applyNumberFormat="1" applyFont="1" applyBorder="1" applyAlignment="1">
      <alignment horizontal="center" wrapText="1"/>
    </xf>
    <xf numFmtId="0" fontId="14" fillId="0" borderId="7" xfId="0" applyFont="1" applyBorder="1" applyAlignment="1">
      <alignment horizontal="center" wrapText="1"/>
    </xf>
    <xf numFmtId="0" fontId="14" fillId="0" borderId="39" xfId="0" applyFont="1" applyBorder="1" applyAlignment="1">
      <alignment horizontal="center" wrapText="1"/>
    </xf>
    <xf numFmtId="0" fontId="11" fillId="0" borderId="18" xfId="0" applyFont="1" applyBorder="1" applyAlignment="1">
      <alignment horizontal="right"/>
    </xf>
    <xf numFmtId="0" fontId="11" fillId="0" borderId="16" xfId="0" applyFont="1" applyBorder="1" applyAlignment="1">
      <alignment horizontal="right"/>
    </xf>
    <xf numFmtId="17" fontId="18" fillId="0" borderId="7" xfId="0" applyNumberFormat="1" applyFont="1" applyBorder="1" applyAlignment="1">
      <alignment horizontal="center" wrapText="1"/>
    </xf>
    <xf numFmtId="17" fontId="18" fillId="0" borderId="39" xfId="0" applyNumberFormat="1" applyFont="1" applyBorder="1" applyAlignment="1">
      <alignment horizontal="center" wrapText="1"/>
    </xf>
    <xf numFmtId="17" fontId="69" fillId="0" borderId="7" xfId="0" applyNumberFormat="1" applyFont="1" applyBorder="1" applyAlignment="1">
      <alignment horizontal="center" wrapText="1"/>
    </xf>
    <xf numFmtId="17" fontId="69" fillId="0" borderId="39" xfId="0" applyNumberFormat="1" applyFont="1" applyBorder="1" applyAlignment="1">
      <alignment horizontal="center" wrapText="1"/>
    </xf>
    <xf numFmtId="0" fontId="43" fillId="38" borderId="85" xfId="0" applyFont="1" applyFill="1" applyBorder="1" applyAlignment="1">
      <alignment horizontal="center" wrapText="1"/>
    </xf>
    <xf numFmtId="0" fontId="42" fillId="38" borderId="71" xfId="0" applyFont="1" applyFill="1" applyBorder="1" applyAlignment="1">
      <alignment wrapText="1"/>
    </xf>
    <xf numFmtId="0" fontId="42" fillId="38" borderId="38" xfId="0" applyFont="1" applyFill="1" applyBorder="1" applyAlignment="1">
      <alignment wrapText="1"/>
    </xf>
    <xf numFmtId="17" fontId="43" fillId="0" borderId="7" xfId="0" applyNumberFormat="1" applyFont="1" applyBorder="1" applyAlignment="1">
      <alignment horizontal="center" wrapText="1"/>
    </xf>
    <xf numFmtId="0" fontId="42" fillId="0" borderId="39" xfId="0" applyFont="1" applyBorder="1" applyAlignment="1">
      <alignment horizontal="center" wrapText="1"/>
    </xf>
    <xf numFmtId="0" fontId="43" fillId="0" borderId="7" xfId="0" applyFont="1" applyBorder="1" applyAlignment="1">
      <alignment horizontal="center" wrapText="1"/>
    </xf>
    <xf numFmtId="0" fontId="43" fillId="41" borderId="85" xfId="0" applyFont="1" applyFill="1" applyBorder="1" applyAlignment="1">
      <alignment horizontal="center" wrapText="1"/>
    </xf>
    <xf numFmtId="0" fontId="42" fillId="41" borderId="71" xfId="0" applyFont="1" applyFill="1" applyBorder="1" applyAlignment="1">
      <alignment wrapText="1"/>
    </xf>
    <xf numFmtId="0" fontId="42" fillId="41" borderId="38" xfId="0" applyFont="1" applyFill="1" applyBorder="1" applyAlignment="1">
      <alignment wrapText="1"/>
    </xf>
  </cellXfs>
  <cellStyles count="140">
    <cellStyle name="20% - Accent1" xfId="1" builtinId="30" customBuiltin="1"/>
    <cellStyle name="20% - Accent1 2" xfId="65" xr:uid="{00000000-0005-0000-0000-000001000000}"/>
    <cellStyle name="20% - Accent1 2 2" xfId="100" xr:uid="{00000000-0005-0000-0000-000002000000}"/>
    <cellStyle name="20% - Accent1 2 3" xfId="127" xr:uid="{00000000-0005-0000-0000-000003000000}"/>
    <cellStyle name="20% - Accent1 3" xfId="82" xr:uid="{00000000-0005-0000-0000-000004000000}"/>
    <cellStyle name="20% - Accent1 4" xfId="113" xr:uid="{00000000-0005-0000-0000-000005000000}"/>
    <cellStyle name="20% - Accent2" xfId="2" builtinId="34" customBuiltin="1"/>
    <cellStyle name="20% - Accent2 2" xfId="66" xr:uid="{00000000-0005-0000-0000-000007000000}"/>
    <cellStyle name="20% - Accent2 2 2" xfId="101" xr:uid="{00000000-0005-0000-0000-000008000000}"/>
    <cellStyle name="20% - Accent2 2 3" xfId="128" xr:uid="{00000000-0005-0000-0000-000009000000}"/>
    <cellStyle name="20% - Accent2 3" xfId="84" xr:uid="{00000000-0005-0000-0000-00000A000000}"/>
    <cellStyle name="20% - Accent2 4" xfId="114" xr:uid="{00000000-0005-0000-0000-00000B000000}"/>
    <cellStyle name="20% - Accent3" xfId="3" builtinId="38" customBuiltin="1"/>
    <cellStyle name="20% - Accent3 2" xfId="67" xr:uid="{00000000-0005-0000-0000-00000D000000}"/>
    <cellStyle name="20% - Accent3 2 2" xfId="102" xr:uid="{00000000-0005-0000-0000-00000E000000}"/>
    <cellStyle name="20% - Accent3 2 3" xfId="129" xr:uid="{00000000-0005-0000-0000-00000F000000}"/>
    <cellStyle name="20% - Accent3 3" xfId="86" xr:uid="{00000000-0005-0000-0000-000010000000}"/>
    <cellStyle name="20% - Accent3 4" xfId="115" xr:uid="{00000000-0005-0000-0000-000011000000}"/>
    <cellStyle name="20% - Accent4" xfId="4" builtinId="42" customBuiltin="1"/>
    <cellStyle name="20% - Accent4 2" xfId="68" xr:uid="{00000000-0005-0000-0000-000013000000}"/>
    <cellStyle name="20% - Accent4 2 2" xfId="103" xr:uid="{00000000-0005-0000-0000-000014000000}"/>
    <cellStyle name="20% - Accent4 2 3" xfId="130" xr:uid="{00000000-0005-0000-0000-000015000000}"/>
    <cellStyle name="20% - Accent4 3" xfId="88" xr:uid="{00000000-0005-0000-0000-000016000000}"/>
    <cellStyle name="20% - Accent4 4" xfId="116" xr:uid="{00000000-0005-0000-0000-000017000000}"/>
    <cellStyle name="20% - Accent5" xfId="5" builtinId="46" customBuiltin="1"/>
    <cellStyle name="20% - Accent5 2" xfId="69" xr:uid="{00000000-0005-0000-0000-000019000000}"/>
    <cellStyle name="20% - Accent5 2 2" xfId="104" xr:uid="{00000000-0005-0000-0000-00001A000000}"/>
    <cellStyle name="20% - Accent5 2 3" xfId="131" xr:uid="{00000000-0005-0000-0000-00001B000000}"/>
    <cellStyle name="20% - Accent5 3" xfId="90" xr:uid="{00000000-0005-0000-0000-00001C000000}"/>
    <cellStyle name="20% - Accent5 4" xfId="117" xr:uid="{00000000-0005-0000-0000-00001D000000}"/>
    <cellStyle name="20% - Accent6" xfId="6" builtinId="50" customBuiltin="1"/>
    <cellStyle name="20% - Accent6 2" xfId="70" xr:uid="{00000000-0005-0000-0000-00001F000000}"/>
    <cellStyle name="20% - Accent6 2 2" xfId="105" xr:uid="{00000000-0005-0000-0000-000020000000}"/>
    <cellStyle name="20% - Accent6 2 3" xfId="132" xr:uid="{00000000-0005-0000-0000-000021000000}"/>
    <cellStyle name="20% - Accent6 3" xfId="92" xr:uid="{00000000-0005-0000-0000-000022000000}"/>
    <cellStyle name="20% - Accent6 4" xfId="118" xr:uid="{00000000-0005-0000-0000-000023000000}"/>
    <cellStyle name="40% - Accent1" xfId="7" builtinId="31" customBuiltin="1"/>
    <cellStyle name="40% - Accent1 2" xfId="71" xr:uid="{00000000-0005-0000-0000-000025000000}"/>
    <cellStyle name="40% - Accent1 2 2" xfId="106" xr:uid="{00000000-0005-0000-0000-000026000000}"/>
    <cellStyle name="40% - Accent1 2 3" xfId="133" xr:uid="{00000000-0005-0000-0000-000027000000}"/>
    <cellStyle name="40% - Accent1 3" xfId="83" xr:uid="{00000000-0005-0000-0000-000028000000}"/>
    <cellStyle name="40% - Accent1 4" xfId="119" xr:uid="{00000000-0005-0000-0000-000029000000}"/>
    <cellStyle name="40% - Accent2" xfId="8" builtinId="35" customBuiltin="1"/>
    <cellStyle name="40% - Accent2 2" xfId="72" xr:uid="{00000000-0005-0000-0000-00002B000000}"/>
    <cellStyle name="40% - Accent2 2 2" xfId="107" xr:uid="{00000000-0005-0000-0000-00002C000000}"/>
    <cellStyle name="40% - Accent2 2 3" xfId="134" xr:uid="{00000000-0005-0000-0000-00002D000000}"/>
    <cellStyle name="40% - Accent2 3" xfId="85" xr:uid="{00000000-0005-0000-0000-00002E000000}"/>
    <cellStyle name="40% - Accent2 4" xfId="120" xr:uid="{00000000-0005-0000-0000-00002F000000}"/>
    <cellStyle name="40% - Accent3" xfId="9" builtinId="39" customBuiltin="1"/>
    <cellStyle name="40% - Accent3 2" xfId="73" xr:uid="{00000000-0005-0000-0000-000031000000}"/>
    <cellStyle name="40% - Accent3 2 2" xfId="108" xr:uid="{00000000-0005-0000-0000-000032000000}"/>
    <cellStyle name="40% - Accent3 2 3" xfId="135" xr:uid="{00000000-0005-0000-0000-000033000000}"/>
    <cellStyle name="40% - Accent3 3" xfId="87" xr:uid="{00000000-0005-0000-0000-000034000000}"/>
    <cellStyle name="40% - Accent3 4" xfId="121" xr:uid="{00000000-0005-0000-0000-000035000000}"/>
    <cellStyle name="40% - Accent4" xfId="10" builtinId="43" customBuiltin="1"/>
    <cellStyle name="40% - Accent4 2" xfId="74" xr:uid="{00000000-0005-0000-0000-000037000000}"/>
    <cellStyle name="40% - Accent4 2 2" xfId="109" xr:uid="{00000000-0005-0000-0000-000038000000}"/>
    <cellStyle name="40% - Accent4 2 3" xfId="136" xr:uid="{00000000-0005-0000-0000-000039000000}"/>
    <cellStyle name="40% - Accent4 3" xfId="89" xr:uid="{00000000-0005-0000-0000-00003A000000}"/>
    <cellStyle name="40% - Accent4 4" xfId="122" xr:uid="{00000000-0005-0000-0000-00003B000000}"/>
    <cellStyle name="40% - Accent5" xfId="11" builtinId="47" customBuiltin="1"/>
    <cellStyle name="40% - Accent5 2" xfId="75" xr:uid="{00000000-0005-0000-0000-00003D000000}"/>
    <cellStyle name="40% - Accent5 2 2" xfId="110" xr:uid="{00000000-0005-0000-0000-00003E000000}"/>
    <cellStyle name="40% - Accent5 2 3" xfId="137" xr:uid="{00000000-0005-0000-0000-00003F000000}"/>
    <cellStyle name="40% - Accent5 3" xfId="91" xr:uid="{00000000-0005-0000-0000-000040000000}"/>
    <cellStyle name="40% - Accent5 4" xfId="123" xr:uid="{00000000-0005-0000-0000-000041000000}"/>
    <cellStyle name="40% - Accent6" xfId="12" builtinId="51" customBuiltin="1"/>
    <cellStyle name="40% - Accent6 2" xfId="76" xr:uid="{00000000-0005-0000-0000-000043000000}"/>
    <cellStyle name="40% - Accent6 2 2" xfId="111" xr:uid="{00000000-0005-0000-0000-000044000000}"/>
    <cellStyle name="40% - Accent6 2 3" xfId="138" xr:uid="{00000000-0005-0000-0000-000045000000}"/>
    <cellStyle name="40% - Accent6 3" xfId="93" xr:uid="{00000000-0005-0000-0000-000046000000}"/>
    <cellStyle name="40% - Accent6 4" xfId="124" xr:uid="{00000000-0005-0000-0000-00004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58000000}"/>
    <cellStyle name="Comma 2 2" xfId="30" xr:uid="{00000000-0005-0000-0000-000059000000}"/>
    <cellStyle name="Comma 3" xfId="60" xr:uid="{00000000-0005-0000-0000-00005A000000}"/>
    <cellStyle name="Comma 4" xfId="96" xr:uid="{00000000-0005-0000-0000-00005B000000}"/>
    <cellStyle name="Comma 5" xfId="94" xr:uid="{00000000-0005-0000-0000-00005C000000}"/>
    <cellStyle name="Currency" xfId="31" builtinId="4"/>
    <cellStyle name="Currency 2" xfId="32" xr:uid="{00000000-0005-0000-0000-00005E000000}"/>
    <cellStyle name="Currency 3" xfId="61" xr:uid="{00000000-0005-0000-0000-00005F000000}"/>
    <cellStyle name="Currency 4" xfId="97" xr:uid="{00000000-0005-0000-0000-000060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6B000000}"/>
    <cellStyle name="Normal 11" xfId="64" xr:uid="{00000000-0005-0000-0000-00006C000000}"/>
    <cellStyle name="Normal 11 2" xfId="99" xr:uid="{00000000-0005-0000-0000-00006D000000}"/>
    <cellStyle name="Normal 12" xfId="95" xr:uid="{00000000-0005-0000-0000-00006E000000}"/>
    <cellStyle name="Normal 13" xfId="79" xr:uid="{00000000-0005-0000-0000-00006F000000}"/>
    <cellStyle name="Normal 2" xfId="42" xr:uid="{00000000-0005-0000-0000-000070000000}"/>
    <cellStyle name="Normal 2 2" xfId="43" xr:uid="{00000000-0005-0000-0000-000071000000}"/>
    <cellStyle name="Normal 2 2 2" xfId="44" xr:uid="{00000000-0005-0000-0000-000072000000}"/>
    <cellStyle name="Normal 2 2_Sched-D2" xfId="45" xr:uid="{00000000-0005-0000-0000-000073000000}"/>
    <cellStyle name="Normal 2 3" xfId="77" xr:uid="{00000000-0005-0000-0000-000074000000}"/>
    <cellStyle name="Normal 2 3 2" xfId="112" xr:uid="{00000000-0005-0000-0000-000075000000}"/>
    <cellStyle name="Normal 2 3 3" xfId="139" xr:uid="{00000000-0005-0000-0000-000076000000}"/>
    <cellStyle name="Normal 2 4" xfId="78" xr:uid="{00000000-0005-0000-0000-000077000000}"/>
    <cellStyle name="Normal 2 5" xfId="98" xr:uid="{00000000-0005-0000-0000-000078000000}"/>
    <cellStyle name="Normal 2 6" xfId="80" xr:uid="{00000000-0005-0000-0000-000079000000}"/>
    <cellStyle name="Normal 2 7" xfId="126" xr:uid="{00000000-0005-0000-0000-00007A000000}"/>
    <cellStyle name="Normal 2 8" xfId="125" xr:uid="{00000000-0005-0000-0000-00007B000000}"/>
    <cellStyle name="Normal 2_Sched-D2" xfId="46" xr:uid="{00000000-0005-0000-0000-00007C000000}"/>
    <cellStyle name="Normal 3" xfId="47" xr:uid="{00000000-0005-0000-0000-00007D000000}"/>
    <cellStyle name="Normal 4" xfId="48" xr:uid="{00000000-0005-0000-0000-00007E000000}"/>
    <cellStyle name="Normal 5" xfId="49" xr:uid="{00000000-0005-0000-0000-00007F000000}"/>
    <cellStyle name="Normal 6" xfId="50" xr:uid="{00000000-0005-0000-0000-000080000000}"/>
    <cellStyle name="Normal 7" xfId="51" xr:uid="{00000000-0005-0000-0000-000081000000}"/>
    <cellStyle name="Normal 8" xfId="59" xr:uid="{00000000-0005-0000-0000-000082000000}"/>
    <cellStyle name="Normal 9" xfId="62" xr:uid="{00000000-0005-0000-0000-000083000000}"/>
    <cellStyle name="Note 2" xfId="52" xr:uid="{00000000-0005-0000-0000-000084000000}"/>
    <cellStyle name="Note 2 2" xfId="53" xr:uid="{00000000-0005-0000-0000-000085000000}"/>
    <cellStyle name="Note 2 2 2" xfId="54" xr:uid="{00000000-0005-0000-0000-000086000000}"/>
    <cellStyle name="Note 3" xfId="81" xr:uid="{00000000-0005-0000-0000-000087000000}"/>
    <cellStyle name="Output" xfId="55" builtinId="21" customBuiltin="1"/>
    <cellStyle name="Title" xfId="56" builtinId="15" customBuiltin="1"/>
    <cellStyle name="Total" xfId="57" builtinId="25" customBuiltin="1"/>
    <cellStyle name="Warning Text" xfId="5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196215</xdr:colOff>
      <xdr:row>0</xdr:row>
      <xdr:rowOff>146685</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D58"/>
  <sheetViews>
    <sheetView showGridLines="0" tabSelected="1" zoomScaleNormal="100" workbookViewId="0">
      <selection sqref="A1:B1"/>
    </sheetView>
  </sheetViews>
  <sheetFormatPr defaultColWidth="9.140625" defaultRowHeight="15.75" x14ac:dyDescent="0.25"/>
  <cols>
    <col min="1" max="1" width="70.140625" style="128" customWidth="1"/>
    <col min="2" max="2" width="21.140625" style="128" customWidth="1"/>
    <col min="3" max="3" width="1.85546875" style="128" hidden="1" customWidth="1"/>
    <col min="4" max="4" width="18.140625" style="128" customWidth="1"/>
    <col min="5" max="16384" width="9.140625" style="128"/>
  </cols>
  <sheetData>
    <row r="1" spans="1:4" ht="27" customHeight="1" thickBot="1" x14ac:dyDescent="0.3">
      <c r="A1" s="853" t="s">
        <v>904</v>
      </c>
      <c r="B1" s="853"/>
    </row>
    <row r="2" spans="1:4" ht="16.5" thickTop="1" x14ac:dyDescent="0.25">
      <c r="A2" s="506" t="s">
        <v>208</v>
      </c>
      <c r="B2" s="114">
        <f>'BILLING RATE CALC'!F23</f>
        <v>292630652.4173367</v>
      </c>
    </row>
    <row r="3" spans="1:4" x14ac:dyDescent="0.25">
      <c r="A3" s="116" t="s">
        <v>789</v>
      </c>
      <c r="B3" s="117">
        <f>B2/366</f>
        <v>799537.30168671231</v>
      </c>
    </row>
    <row r="4" spans="1:4" x14ac:dyDescent="0.25">
      <c r="A4" s="122" t="s">
        <v>781</v>
      </c>
      <c r="B4" s="119">
        <f>'Inmate Avg Daily Population'!N18</f>
        <v>4546.838333333334</v>
      </c>
    </row>
    <row r="5" spans="1:4" x14ac:dyDescent="0.25">
      <c r="A5" s="116" t="s">
        <v>786</v>
      </c>
      <c r="B5" s="119">
        <f>B4*366</f>
        <v>1664142.8300000003</v>
      </c>
    </row>
    <row r="6" spans="1:4" s="168" customFormat="1" ht="16.5" thickBot="1" x14ac:dyDescent="0.3">
      <c r="A6" s="170" t="s">
        <v>209</v>
      </c>
      <c r="B6" s="171">
        <f>'BILLING RATE CALC'!G23</f>
        <v>175.84467339100732</v>
      </c>
      <c r="D6" s="128"/>
    </row>
    <row r="7" spans="1:4" x14ac:dyDescent="0.25">
      <c r="A7" s="120"/>
      <c r="B7" s="121"/>
    </row>
    <row r="8" spans="1:4" x14ac:dyDescent="0.25">
      <c r="A8" s="122" t="s">
        <v>0</v>
      </c>
      <c r="B8" s="123" t="s">
        <v>0</v>
      </c>
    </row>
    <row r="9" spans="1:4" x14ac:dyDescent="0.25">
      <c r="A9" s="116" t="s">
        <v>210</v>
      </c>
      <c r="B9" s="124">
        <f>'COST ALLOCATION'!J40</f>
        <v>17176482.457446001</v>
      </c>
    </row>
    <row r="10" spans="1:4" x14ac:dyDescent="0.25">
      <c r="A10" s="116" t="s">
        <v>789</v>
      </c>
      <c r="B10" s="125">
        <f>B9/366</f>
        <v>46930.279938377054</v>
      </c>
    </row>
    <row r="11" spans="1:4" x14ac:dyDescent="0.25">
      <c r="A11" s="122" t="s">
        <v>782</v>
      </c>
      <c r="B11" s="669">
        <f>'Inmate Avg Daily Population'!N20+'Inmate Avg Daily Population'!N21</f>
        <v>246.16749999999999</v>
      </c>
    </row>
    <row r="12" spans="1:4" x14ac:dyDescent="0.25">
      <c r="A12" s="116" t="s">
        <v>786</v>
      </c>
      <c r="B12" s="119">
        <f>B11*366</f>
        <v>90097.304999999993</v>
      </c>
    </row>
    <row r="13" spans="1:4" s="168" customFormat="1" ht="16.5" thickBot="1" x14ac:dyDescent="0.3">
      <c r="A13" s="170" t="s">
        <v>442</v>
      </c>
      <c r="B13" s="171">
        <f>B10/B11</f>
        <v>190.64368748261674</v>
      </c>
      <c r="D13" s="128"/>
    </row>
    <row r="14" spans="1:4" x14ac:dyDescent="0.25">
      <c r="A14" s="126"/>
      <c r="B14" s="127"/>
    </row>
    <row r="15" spans="1:4" x14ac:dyDescent="0.25">
      <c r="A15" s="122" t="s">
        <v>0</v>
      </c>
      <c r="B15" s="123" t="s">
        <v>0</v>
      </c>
    </row>
    <row r="16" spans="1:4" x14ac:dyDescent="0.25">
      <c r="A16" s="116" t="s">
        <v>211</v>
      </c>
      <c r="B16" s="124">
        <f>'COST ALLOCATION'!J37+'COST ALLOCATION'!J36</f>
        <v>17328187.971767738</v>
      </c>
    </row>
    <row r="17" spans="1:4" x14ac:dyDescent="0.25">
      <c r="A17" s="116" t="s">
        <v>789</v>
      </c>
      <c r="B17" s="129">
        <f>B16/366</f>
        <v>47344.77587914683</v>
      </c>
    </row>
    <row r="18" spans="1:4" x14ac:dyDescent="0.25">
      <c r="A18" s="116" t="s">
        <v>783</v>
      </c>
      <c r="B18" s="507">
        <f>'Monthly PO Workload Stats'!G345</f>
        <v>3614.9166666666665</v>
      </c>
      <c r="C18" s="130" t="s">
        <v>148</v>
      </c>
    </row>
    <row r="19" spans="1:4" x14ac:dyDescent="0.25">
      <c r="A19" s="116" t="s">
        <v>786</v>
      </c>
      <c r="B19" s="119">
        <f>B18*366</f>
        <v>1323059.5</v>
      </c>
    </row>
    <row r="20" spans="1:4" s="168" customFormat="1" ht="16.5" thickBot="1" x14ac:dyDescent="0.3">
      <c r="A20" s="170" t="s">
        <v>227</v>
      </c>
      <c r="B20" s="171">
        <f>B17/B18</f>
        <v>13.09705872771991</v>
      </c>
      <c r="D20" s="128"/>
    </row>
    <row r="21" spans="1:4" x14ac:dyDescent="0.25">
      <c r="A21" s="132"/>
      <c r="B21" s="127"/>
    </row>
    <row r="22" spans="1:4" x14ac:dyDescent="0.25">
      <c r="A22" s="115"/>
      <c r="B22" s="133"/>
    </row>
    <row r="23" spans="1:4" x14ac:dyDescent="0.25">
      <c r="A23" s="116" t="s">
        <v>212</v>
      </c>
      <c r="B23" s="124">
        <f>'COST ALLOCATION'!J35</f>
        <v>7292116.8299940145</v>
      </c>
    </row>
    <row r="24" spans="1:4" x14ac:dyDescent="0.25">
      <c r="A24" s="116" t="s">
        <v>789</v>
      </c>
      <c r="B24" s="125">
        <f>B23/366</f>
        <v>19923.816475393483</v>
      </c>
    </row>
    <row r="25" spans="1:4" x14ac:dyDescent="0.25">
      <c r="A25" s="116" t="s">
        <v>784</v>
      </c>
      <c r="B25" s="508">
        <f>'Avg Daily Community Jails'!H41</f>
        <v>47.800546448087431</v>
      </c>
      <c r="C25" s="130" t="s">
        <v>148</v>
      </c>
    </row>
    <row r="26" spans="1:4" x14ac:dyDescent="0.25">
      <c r="A26" s="116" t="s">
        <v>786</v>
      </c>
      <c r="B26" s="119">
        <f>B25*366</f>
        <v>17495</v>
      </c>
    </row>
    <row r="27" spans="1:4" s="168" customFormat="1" ht="16.5" thickBot="1" x14ac:dyDescent="0.3">
      <c r="A27" s="170" t="s">
        <v>74</v>
      </c>
      <c r="B27" s="171">
        <f>B24/B25</f>
        <v>416.81147927945216</v>
      </c>
      <c r="D27" s="128"/>
    </row>
    <row r="28" spans="1:4" x14ac:dyDescent="0.25">
      <c r="A28" s="132"/>
      <c r="B28" s="127"/>
    </row>
    <row r="29" spans="1:4" x14ac:dyDescent="0.25">
      <c r="A29" s="115"/>
      <c r="B29" s="133"/>
    </row>
    <row r="30" spans="1:4" x14ac:dyDescent="0.25">
      <c r="A30" s="116" t="s">
        <v>280</v>
      </c>
      <c r="B30" s="124">
        <f>'COST ALLOCATION'!J39</f>
        <v>2466860.575588082</v>
      </c>
    </row>
    <row r="31" spans="1:4" x14ac:dyDescent="0.25">
      <c r="A31" s="116" t="s">
        <v>789</v>
      </c>
      <c r="B31" s="124">
        <f>B30/366</f>
        <v>6740.0562174537763</v>
      </c>
    </row>
    <row r="32" spans="1:4" x14ac:dyDescent="0.25">
      <c r="A32" s="116" t="s">
        <v>787</v>
      </c>
      <c r="B32" s="508">
        <f>'Inmate Avg Daily Population'!N23</f>
        <v>151.75</v>
      </c>
      <c r="C32" s="130" t="s">
        <v>148</v>
      </c>
    </row>
    <row r="33" spans="1:4" x14ac:dyDescent="0.25">
      <c r="A33" s="116" t="s">
        <v>786</v>
      </c>
      <c r="B33" s="119">
        <f>B32*366</f>
        <v>55540.5</v>
      </c>
    </row>
    <row r="34" spans="1:4" s="168" customFormat="1" ht="16.5" thickBot="1" x14ac:dyDescent="0.3">
      <c r="A34" s="170" t="s">
        <v>74</v>
      </c>
      <c r="B34" s="171">
        <f>B31/B32</f>
        <v>44.415526968393912</v>
      </c>
      <c r="D34" s="128"/>
    </row>
    <row r="35" spans="1:4" x14ac:dyDescent="0.25">
      <c r="A35" s="132"/>
      <c r="B35" s="127"/>
    </row>
    <row r="36" spans="1:4" x14ac:dyDescent="0.25">
      <c r="A36" s="115"/>
      <c r="B36" s="133"/>
    </row>
    <row r="37" spans="1:4" x14ac:dyDescent="0.25">
      <c r="A37" s="116" t="s">
        <v>453</v>
      </c>
      <c r="B37" s="124">
        <f>'COST ALLOCATION'!J38</f>
        <v>269181.32399353094</v>
      </c>
    </row>
    <row r="38" spans="1:4" x14ac:dyDescent="0.25">
      <c r="A38" s="116" t="s">
        <v>789</v>
      </c>
      <c r="B38" s="125">
        <f>B37/366</f>
        <v>735.46809834298074</v>
      </c>
    </row>
    <row r="39" spans="1:4" x14ac:dyDescent="0.25">
      <c r="A39" s="116" t="s">
        <v>788</v>
      </c>
      <c r="B39" s="508">
        <f>'Inmate Avg Daily Population'!N26+'Inmate Avg Daily Population'!N27</f>
        <v>11.416666666666666</v>
      </c>
    </row>
    <row r="40" spans="1:4" x14ac:dyDescent="0.25">
      <c r="A40" s="116" t="s">
        <v>786</v>
      </c>
      <c r="B40" s="119">
        <f>B39*366</f>
        <v>4178.5</v>
      </c>
    </row>
    <row r="41" spans="1:4" s="168" customFormat="1" ht="16.5" thickBot="1" x14ac:dyDescent="0.3">
      <c r="A41" s="170" t="s">
        <v>76</v>
      </c>
      <c r="B41" s="171">
        <f>B38/B39</f>
        <v>64.42056335850927</v>
      </c>
      <c r="D41" s="128"/>
    </row>
    <row r="42" spans="1:4" x14ac:dyDescent="0.25">
      <c r="A42" s="134" t="s">
        <v>0</v>
      </c>
      <c r="B42" s="135" t="s">
        <v>0</v>
      </c>
    </row>
    <row r="44" spans="1:4" x14ac:dyDescent="0.25">
      <c r="A44" s="116" t="s">
        <v>790</v>
      </c>
      <c r="B44" s="124">
        <f>'COST ALLOCATION'!J34</f>
        <v>10595744.979921168</v>
      </c>
    </row>
    <row r="45" spans="1:4" x14ac:dyDescent="0.25">
      <c r="A45" s="116" t="s">
        <v>789</v>
      </c>
      <c r="B45" s="852">
        <f>B44/366</f>
        <v>28950.122895959474</v>
      </c>
    </row>
    <row r="46" spans="1:4" x14ac:dyDescent="0.25">
      <c r="A46" s="116" t="s">
        <v>889</v>
      </c>
      <c r="B46" s="508">
        <f>'Inmate Avg Daily Population'!N25</f>
        <v>1109.8333333333333</v>
      </c>
    </row>
    <row r="47" spans="1:4" x14ac:dyDescent="0.25">
      <c r="A47" s="116" t="s">
        <v>786</v>
      </c>
      <c r="B47" s="119">
        <f>B46*366</f>
        <v>406199</v>
      </c>
    </row>
    <row r="48" spans="1:4" s="168" customFormat="1" ht="16.5" thickBot="1" x14ac:dyDescent="0.3">
      <c r="A48" s="170" t="s">
        <v>76</v>
      </c>
      <c r="B48" s="171">
        <f>B45/B46</f>
        <v>26.085108481116812</v>
      </c>
      <c r="D48" s="128"/>
    </row>
    <row r="49" spans="1:2" x14ac:dyDescent="0.25">
      <c r="A49" s="268" t="s">
        <v>785</v>
      </c>
    </row>
    <row r="54" spans="1:2" x14ac:dyDescent="0.25">
      <c r="B54" s="136" t="s">
        <v>75</v>
      </c>
    </row>
    <row r="55" spans="1:2" x14ac:dyDescent="0.25">
      <c r="A55" s="169" t="s">
        <v>893</v>
      </c>
      <c r="B55" s="131"/>
    </row>
    <row r="56" spans="1:2" x14ac:dyDescent="0.25">
      <c r="A56" s="168"/>
      <c r="B56" s="131"/>
    </row>
    <row r="57" spans="1:2" x14ac:dyDescent="0.25">
      <c r="A57" s="168"/>
      <c r="B57" s="131"/>
    </row>
    <row r="58" spans="1:2" x14ac:dyDescent="0.25">
      <c r="A58" s="168"/>
      <c r="B58" s="131"/>
    </row>
  </sheetData>
  <mergeCells count="1">
    <mergeCell ref="A1:B1"/>
  </mergeCells>
  <phoneticPr fontId="21" type="noConversion"/>
  <printOptions horizontalCentered="1" verticalCentered="1"/>
  <pageMargins left="0.25" right="0.25" top="0.75" bottom="0.75" header="0.3" footer="0.3"/>
  <pageSetup scale="88" orientation="portrait" r:id="rId1"/>
  <headerFooter alignWithMargins="0">
    <oddHeader>&amp;C&amp;"Arial,Bold"&amp;12DEPARTMENT OF CORRECTIONS
FY2021/FY2022 Daily Cost of Care Rate</oddHeader>
    <oddFooter>&amp;L&amp;8FY2021/FY2022 Daily Cost of Care Rate&amp;R&amp;8&amp;P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I42"/>
  <sheetViews>
    <sheetView showGridLines="0" topLeftCell="A25" workbookViewId="0">
      <selection activeCell="B41" sqref="B41"/>
    </sheetView>
  </sheetViews>
  <sheetFormatPr defaultColWidth="9.140625" defaultRowHeight="15.75" x14ac:dyDescent="0.25"/>
  <cols>
    <col min="1" max="1" width="17" style="128" customWidth="1"/>
    <col min="2" max="2" width="6.5703125" style="128" customWidth="1"/>
    <col min="3" max="3" width="5.85546875" style="128" bestFit="1" customWidth="1"/>
    <col min="4" max="4" width="16.7109375" style="128" customWidth="1"/>
    <col min="5" max="5" width="5.85546875" style="128" customWidth="1"/>
    <col min="6" max="6" width="14.140625" style="128" customWidth="1"/>
    <col min="7" max="7" width="9.140625" style="128"/>
    <col min="8" max="8" width="27.5703125" style="128" customWidth="1"/>
    <col min="9" max="9" width="18.140625" style="128" bestFit="1" customWidth="1"/>
    <col min="10" max="16384" width="9.140625" style="128"/>
  </cols>
  <sheetData>
    <row r="1" spans="1:9" ht="28.5" customHeight="1" thickBot="1" x14ac:dyDescent="0.3">
      <c r="A1" s="854" t="s">
        <v>166</v>
      </c>
      <c r="B1" s="854"/>
      <c r="C1" s="854"/>
      <c r="D1" s="854"/>
      <c r="E1" s="854"/>
      <c r="F1" s="854"/>
      <c r="G1" s="854"/>
      <c r="H1" s="854"/>
    </row>
    <row r="2" spans="1:9" s="177" customFormat="1" ht="38.25" customHeight="1" thickBot="1" x14ac:dyDescent="0.25">
      <c r="A2" s="859" t="s">
        <v>150</v>
      </c>
      <c r="B2" s="860"/>
      <c r="C2" s="860"/>
      <c r="D2" s="860"/>
      <c r="E2" s="860"/>
      <c r="F2" s="860"/>
      <c r="G2" s="860"/>
      <c r="H2" s="861"/>
    </row>
    <row r="3" spans="1:9" ht="27.75" customHeight="1" x14ac:dyDescent="0.25">
      <c r="A3" s="144" t="s">
        <v>151</v>
      </c>
      <c r="B3" s="145" t="s">
        <v>154</v>
      </c>
      <c r="C3" s="134"/>
      <c r="D3" s="134"/>
      <c r="E3" s="134" t="s">
        <v>153</v>
      </c>
      <c r="F3" s="134"/>
      <c r="H3" s="147" t="s">
        <v>155</v>
      </c>
    </row>
    <row r="4" spans="1:9" ht="27.75" customHeight="1" thickBot="1" x14ac:dyDescent="0.3">
      <c r="A4" s="148" t="s">
        <v>152</v>
      </c>
      <c r="B4" s="149" t="s">
        <v>284</v>
      </c>
      <c r="C4" s="150"/>
      <c r="D4" s="150"/>
      <c r="E4" s="150"/>
      <c r="F4" s="150"/>
      <c r="G4" s="150"/>
      <c r="H4" s="172"/>
    </row>
    <row r="5" spans="1:9" ht="42.6" customHeight="1" thickBot="1" x14ac:dyDescent="0.3">
      <c r="A5" s="859" t="s">
        <v>156</v>
      </c>
      <c r="B5" s="860"/>
      <c r="C5" s="860"/>
      <c r="D5" s="860"/>
      <c r="E5" s="860"/>
      <c r="F5" s="860"/>
      <c r="G5" s="860"/>
      <c r="H5" s="861"/>
    </row>
    <row r="6" spans="1:9" ht="24" customHeight="1" x14ac:dyDescent="0.25">
      <c r="A6" s="151" t="s">
        <v>157</v>
      </c>
      <c r="H6" s="152"/>
    </row>
    <row r="7" spans="1:9" ht="24" customHeight="1" x14ac:dyDescent="0.25">
      <c r="A7" s="153" t="s">
        <v>200</v>
      </c>
      <c r="C7" s="154" t="s">
        <v>158</v>
      </c>
      <c r="D7" s="155">
        <v>43647</v>
      </c>
      <c r="E7" s="154" t="s">
        <v>159</v>
      </c>
      <c r="F7" s="155">
        <v>44012</v>
      </c>
      <c r="H7" s="152"/>
    </row>
    <row r="8" spans="1:9" x14ac:dyDescent="0.25">
      <c r="A8" s="153"/>
      <c r="D8" s="173" t="s">
        <v>160</v>
      </c>
      <c r="F8" s="173" t="s">
        <v>160</v>
      </c>
      <c r="H8" s="156" t="s">
        <v>4</v>
      </c>
    </row>
    <row r="9" spans="1:9" ht="28.5" customHeight="1" x14ac:dyDescent="0.25">
      <c r="A9" s="153" t="s">
        <v>213</v>
      </c>
      <c r="H9" s="481">
        <f>'Sched-B1'!B17</f>
        <v>100407759.58</v>
      </c>
    </row>
    <row r="10" spans="1:9" ht="28.5" customHeight="1" x14ac:dyDescent="0.25">
      <c r="A10" s="153" t="s">
        <v>214</v>
      </c>
      <c r="H10" s="481">
        <f>'Sched-B1'!C17+'Sched-B1'!D17</f>
        <v>58617662.410000004</v>
      </c>
      <c r="I10" s="174"/>
    </row>
    <row r="11" spans="1:9" ht="28.5" customHeight="1" x14ac:dyDescent="0.25">
      <c r="A11" s="153" t="s">
        <v>161</v>
      </c>
      <c r="H11" s="481">
        <f>'Sched-C'!D24</f>
        <v>23793328.090000004</v>
      </c>
    </row>
    <row r="12" spans="1:9" ht="28.5" customHeight="1" x14ac:dyDescent="0.25">
      <c r="A12" s="153" t="s">
        <v>216</v>
      </c>
      <c r="H12" s="482">
        <f>'Sched-D1'!F661+'Sched-D2'!F143</f>
        <v>90854526.62999998</v>
      </c>
    </row>
    <row r="13" spans="1:9" ht="28.5" customHeight="1" x14ac:dyDescent="0.25">
      <c r="A13" s="153" t="s">
        <v>162</v>
      </c>
      <c r="H13" s="482">
        <f>'Sched-E'!E3</f>
        <v>13287036.871289467</v>
      </c>
    </row>
    <row r="14" spans="1:9" ht="24.75" customHeight="1" x14ac:dyDescent="0.25">
      <c r="A14" s="153" t="s">
        <v>163</v>
      </c>
      <c r="H14" s="481">
        <f>'Sched-F-G'!C18</f>
        <v>766476.2060471999</v>
      </c>
    </row>
    <row r="15" spans="1:9" ht="24" customHeight="1" x14ac:dyDescent="0.25">
      <c r="A15" s="153" t="s">
        <v>164</v>
      </c>
      <c r="H15" s="482">
        <f>'Sched-F-G'!D39</f>
        <v>9067145.879999999</v>
      </c>
    </row>
    <row r="16" spans="1:9" ht="28.5" customHeight="1" x14ac:dyDescent="0.25">
      <c r="A16" s="153" t="s">
        <v>165</v>
      </c>
      <c r="H16" s="482">
        <f>SUM(H9:H15)</f>
        <v>296793935.66733664</v>
      </c>
    </row>
    <row r="17" spans="1:9" ht="28.5" customHeight="1" x14ac:dyDescent="0.25">
      <c r="A17" s="483" t="s">
        <v>441</v>
      </c>
      <c r="H17" s="836">
        <v>283696656.80000001</v>
      </c>
      <c r="I17" s="174"/>
    </row>
    <row r="18" spans="1:9" ht="16.5" thickBot="1" x14ac:dyDescent="0.3">
      <c r="A18" s="148"/>
      <c r="B18" s="150"/>
      <c r="C18" s="150"/>
      <c r="D18" s="150"/>
      <c r="E18" s="150"/>
      <c r="F18" s="150"/>
      <c r="G18" s="150"/>
      <c r="H18" s="158"/>
      <c r="I18" s="174"/>
    </row>
    <row r="19" spans="1:9" ht="25.5" customHeight="1" thickBot="1" x14ac:dyDescent="0.3">
      <c r="A19" s="130" t="s">
        <v>173</v>
      </c>
    </row>
    <row r="20" spans="1:9" s="177" customFormat="1" ht="30.75" customHeight="1" thickBot="1" x14ac:dyDescent="0.25">
      <c r="A20" s="859" t="s">
        <v>167</v>
      </c>
      <c r="B20" s="860"/>
      <c r="C20" s="860"/>
      <c r="D20" s="860"/>
      <c r="E20" s="860"/>
      <c r="F20" s="860"/>
      <c r="G20" s="860"/>
      <c r="H20" s="861"/>
    </row>
    <row r="21" spans="1:9" ht="27.75" customHeight="1" x14ac:dyDescent="0.25">
      <c r="A21" s="130" t="s">
        <v>168</v>
      </c>
      <c r="E21" s="154" t="s">
        <v>171</v>
      </c>
      <c r="F21" s="155">
        <v>43647</v>
      </c>
      <c r="G21" s="154" t="s">
        <v>172</v>
      </c>
      <c r="H21" s="155">
        <v>44012</v>
      </c>
    </row>
    <row r="22" spans="1:9" x14ac:dyDescent="0.25">
      <c r="A22" s="168" t="s">
        <v>169</v>
      </c>
      <c r="F22" s="173" t="s">
        <v>160</v>
      </c>
      <c r="H22" s="173" t="s">
        <v>160</v>
      </c>
    </row>
    <row r="23" spans="1:9" ht="24" customHeight="1" x14ac:dyDescent="0.25">
      <c r="A23" s="130" t="s">
        <v>170</v>
      </c>
      <c r="D23" s="162" t="s">
        <v>174</v>
      </c>
      <c r="E23" s="162"/>
      <c r="F23" s="162" t="s">
        <v>175</v>
      </c>
      <c r="G23" s="162"/>
      <c r="H23" s="162" t="s">
        <v>47</v>
      </c>
    </row>
    <row r="24" spans="1:9" ht="24.75" customHeight="1" x14ac:dyDescent="0.25">
      <c r="D24" s="178" t="s">
        <v>97</v>
      </c>
      <c r="E24" s="162"/>
      <c r="F24" s="178" t="s">
        <v>97</v>
      </c>
      <c r="G24" s="162"/>
      <c r="H24" s="179">
        <v>4838</v>
      </c>
    </row>
    <row r="25" spans="1:9" ht="30" customHeight="1" x14ac:dyDescent="0.25">
      <c r="A25" s="130" t="s">
        <v>176</v>
      </c>
      <c r="B25" s="161"/>
      <c r="C25" s="161"/>
      <c r="D25" s="162" t="s">
        <v>174</v>
      </c>
      <c r="E25" s="162"/>
      <c r="F25" s="162" t="s">
        <v>175</v>
      </c>
      <c r="G25" s="162"/>
      <c r="H25" s="162" t="s">
        <v>47</v>
      </c>
    </row>
    <row r="26" spans="1:9" ht="24.75" customHeight="1" x14ac:dyDescent="0.25">
      <c r="A26" s="161" t="s">
        <v>177</v>
      </c>
      <c r="C26" s="154" t="s">
        <v>178</v>
      </c>
      <c r="D26" s="178" t="s">
        <v>97</v>
      </c>
      <c r="E26" s="162"/>
      <c r="F26" s="178" t="s">
        <v>97</v>
      </c>
      <c r="G26" s="162"/>
      <c r="H26" s="178"/>
    </row>
    <row r="27" spans="1:9" ht="24.75" customHeight="1" x14ac:dyDescent="0.25">
      <c r="C27" s="154" t="s">
        <v>179</v>
      </c>
      <c r="D27" s="178" t="s">
        <v>97</v>
      </c>
      <c r="E27" s="162"/>
      <c r="F27" s="178" t="s">
        <v>97</v>
      </c>
      <c r="G27" s="162"/>
      <c r="H27" s="178"/>
    </row>
    <row r="28" spans="1:9" ht="24.75" customHeight="1" x14ac:dyDescent="0.25">
      <c r="C28" s="154" t="s">
        <v>180</v>
      </c>
      <c r="D28" s="178" t="s">
        <v>97</v>
      </c>
      <c r="E28" s="162"/>
      <c r="F28" s="178" t="s">
        <v>97</v>
      </c>
      <c r="G28" s="162"/>
      <c r="H28" s="178"/>
    </row>
    <row r="29" spans="1:9" ht="24.75" customHeight="1" thickBot="1" x14ac:dyDescent="0.3">
      <c r="A29" s="175"/>
      <c r="C29" s="154" t="s">
        <v>26</v>
      </c>
      <c r="D29" s="180">
        <f>H29-F29</f>
        <v>4107.6501333333345</v>
      </c>
      <c r="E29" s="162"/>
      <c r="F29" s="181">
        <f>'IADP-By Gender'!J19</f>
        <v>439.18819999999999</v>
      </c>
      <c r="G29" s="162"/>
      <c r="H29" s="180">
        <f>'Inmate Avg Daily Population'!N18</f>
        <v>4546.838333333334</v>
      </c>
    </row>
    <row r="30" spans="1:9" ht="31.5" customHeight="1" thickBot="1" x14ac:dyDescent="0.3">
      <c r="A30" s="855" t="s">
        <v>181</v>
      </c>
      <c r="B30" s="856"/>
      <c r="C30" s="856"/>
      <c r="D30" s="856"/>
      <c r="E30" s="856"/>
      <c r="F30" s="856"/>
      <c r="G30" s="856"/>
      <c r="H30" s="857"/>
    </row>
    <row r="31" spans="1:9" ht="24.75" customHeight="1" x14ac:dyDescent="0.25">
      <c r="A31" s="128" t="s">
        <v>182</v>
      </c>
      <c r="F31" s="163">
        <f>'BILLING RATE CALC'!G23</f>
        <v>175.84467339100732</v>
      </c>
    </row>
    <row r="32" spans="1:9" ht="24.75" customHeight="1" thickBot="1" x14ac:dyDescent="0.3">
      <c r="A32" s="128" t="s">
        <v>183</v>
      </c>
      <c r="F32" s="164">
        <f>'BILLING RATE CALC'!G23</f>
        <v>175.84467339100732</v>
      </c>
    </row>
    <row r="33" spans="1:8" ht="26.25" customHeight="1" thickBot="1" x14ac:dyDescent="0.3">
      <c r="A33" s="855" t="s">
        <v>201</v>
      </c>
      <c r="B33" s="856"/>
      <c r="C33" s="856"/>
      <c r="D33" s="856"/>
      <c r="E33" s="856"/>
      <c r="F33" s="856"/>
      <c r="G33" s="856"/>
      <c r="H33" s="857"/>
    </row>
    <row r="34" spans="1:8" x14ac:dyDescent="0.25">
      <c r="A34" s="7" t="s">
        <v>184</v>
      </c>
    </row>
    <row r="35" spans="1:8" x14ac:dyDescent="0.25">
      <c r="A35" s="128" t="s">
        <v>185</v>
      </c>
      <c r="B35" s="130" t="s">
        <v>791</v>
      </c>
      <c r="E35" s="128" t="s">
        <v>188</v>
      </c>
      <c r="G35" s="130" t="s">
        <v>192</v>
      </c>
    </row>
    <row r="36" spans="1:8" x14ac:dyDescent="0.25">
      <c r="A36" s="128" t="s">
        <v>199</v>
      </c>
      <c r="B36" s="130" t="s">
        <v>652</v>
      </c>
      <c r="E36" s="128" t="s">
        <v>189</v>
      </c>
      <c r="G36" s="130" t="s">
        <v>193</v>
      </c>
    </row>
    <row r="37" spans="1:8" x14ac:dyDescent="0.25">
      <c r="A37" s="128" t="s">
        <v>186</v>
      </c>
      <c r="B37" s="130" t="s">
        <v>284</v>
      </c>
      <c r="E37" s="128" t="s">
        <v>190</v>
      </c>
      <c r="F37" s="130" t="s">
        <v>194</v>
      </c>
      <c r="G37" s="128" t="s">
        <v>191</v>
      </c>
      <c r="H37" s="130" t="s">
        <v>195</v>
      </c>
    </row>
    <row r="38" spans="1:8" ht="16.5" thickBot="1" x14ac:dyDescent="0.3">
      <c r="A38" s="128" t="s">
        <v>187</v>
      </c>
      <c r="B38" s="130" t="s">
        <v>283</v>
      </c>
    </row>
    <row r="39" spans="1:8" ht="16.5" thickBot="1" x14ac:dyDescent="0.3">
      <c r="A39" s="855" t="s">
        <v>196</v>
      </c>
      <c r="B39" s="856"/>
      <c r="C39" s="856"/>
      <c r="D39" s="856"/>
      <c r="E39" s="856"/>
      <c r="F39" s="856"/>
      <c r="G39" s="856"/>
      <c r="H39" s="857"/>
    </row>
    <row r="40" spans="1:8" ht="72.75" customHeight="1" x14ac:dyDescent="0.25">
      <c r="A40" s="858" t="s">
        <v>202</v>
      </c>
      <c r="B40" s="858"/>
      <c r="C40" s="858"/>
      <c r="D40" s="858"/>
      <c r="E40" s="858"/>
      <c r="F40" s="858"/>
      <c r="G40" s="858"/>
      <c r="H40" s="858"/>
    </row>
    <row r="41" spans="1:8" ht="27" customHeight="1" x14ac:dyDescent="0.25">
      <c r="A41" s="154" t="s">
        <v>197</v>
      </c>
      <c r="B41" s="176"/>
      <c r="C41" s="176"/>
      <c r="D41" s="176"/>
      <c r="F41" s="154" t="s">
        <v>198</v>
      </c>
      <c r="G41" s="176"/>
      <c r="H41" s="176"/>
    </row>
    <row r="42" spans="1:8" ht="27" customHeight="1" x14ac:dyDescent="0.25">
      <c r="A42" s="154" t="s">
        <v>185</v>
      </c>
      <c r="B42" s="166" t="s">
        <v>791</v>
      </c>
      <c r="C42" s="165"/>
      <c r="D42" s="165"/>
      <c r="F42" s="154" t="s">
        <v>199</v>
      </c>
      <c r="G42" s="166" t="s">
        <v>651</v>
      </c>
      <c r="H42" s="166"/>
    </row>
  </sheetData>
  <mergeCells count="8">
    <mergeCell ref="A1:H1"/>
    <mergeCell ref="A39:H39"/>
    <mergeCell ref="A33:H33"/>
    <mergeCell ref="A40:H40"/>
    <mergeCell ref="A2:H2"/>
    <mergeCell ref="A5:H5"/>
    <mergeCell ref="A20:H20"/>
    <mergeCell ref="A30:H30"/>
  </mergeCells>
  <phoneticPr fontId="21" type="noConversion"/>
  <printOptions horizontalCentered="1"/>
  <pageMargins left="0.25" right="0.25" top="1.25" bottom="0.25" header="0.3" footer="0.3"/>
  <pageSetup orientation="portrait" r:id="rId1"/>
  <headerFooter alignWithMargins="0">
    <oddHeader>&amp;C&amp;"Arial,Bold"&amp;12DEPARTMENT OF CORRECTIONS
 COST OF CARE Year 2021
(Based on Fiscal Year 2020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G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B17" sqref="B17"/>
    </sheetView>
  </sheetViews>
  <sheetFormatPr defaultColWidth="9.140625" defaultRowHeight="12.75" x14ac:dyDescent="0.2"/>
  <cols>
    <col min="1" max="1" width="21.28515625" style="113" bestFit="1" customWidth="1"/>
    <col min="2" max="3" width="18.85546875" style="113" bestFit="1" customWidth="1"/>
    <col min="4" max="4" width="17.5703125" style="113" bestFit="1" customWidth="1"/>
    <col min="5" max="5" width="19.5703125" style="113" customWidth="1"/>
    <col min="6" max="6" width="13.140625" style="113" customWidth="1"/>
    <col min="7" max="7" width="12.5703125" style="113" customWidth="1"/>
    <col min="8" max="16384" width="9.140625" style="113"/>
  </cols>
  <sheetData>
    <row r="1" spans="1:7" ht="15.75" x14ac:dyDescent="0.25">
      <c r="A1" s="862" t="s">
        <v>99</v>
      </c>
      <c r="B1" s="862"/>
      <c r="C1" s="862"/>
      <c r="D1" s="862"/>
      <c r="E1" s="862"/>
      <c r="F1" s="862"/>
      <c r="G1" s="862"/>
    </row>
    <row r="2" spans="1:7" ht="35.25" customHeight="1" thickBot="1" x14ac:dyDescent="0.25">
      <c r="A2" s="863" t="s">
        <v>98</v>
      </c>
      <c r="B2" s="863"/>
      <c r="C2" s="863"/>
      <c r="D2" s="863"/>
      <c r="E2" s="863"/>
      <c r="F2" s="863"/>
      <c r="G2" s="863"/>
    </row>
    <row r="3" spans="1:7" ht="33" thickTop="1" thickBot="1" x14ac:dyDescent="0.25">
      <c r="A3" s="183" t="s">
        <v>22</v>
      </c>
      <c r="B3" s="184" t="s">
        <v>100</v>
      </c>
      <c r="C3" s="183" t="s">
        <v>23</v>
      </c>
      <c r="D3" s="184" t="s">
        <v>101</v>
      </c>
      <c r="E3" s="650" t="s">
        <v>102</v>
      </c>
      <c r="F3" s="184" t="s">
        <v>27</v>
      </c>
      <c r="G3" s="184" t="s">
        <v>279</v>
      </c>
    </row>
    <row r="4" spans="1:7" ht="23.25" customHeight="1" thickTop="1" x14ac:dyDescent="0.25">
      <c r="A4" s="116" t="s">
        <v>243</v>
      </c>
      <c r="B4" s="125">
        <v>18496102.920000002</v>
      </c>
      <c r="C4" s="125">
        <v>11045761.43</v>
      </c>
      <c r="D4" s="125">
        <v>-197624.93</v>
      </c>
      <c r="E4" s="651">
        <f>SUM(B4:D4)</f>
        <v>29344239.420000002</v>
      </c>
      <c r="F4" s="190">
        <v>248</v>
      </c>
      <c r="G4" s="185">
        <v>829</v>
      </c>
    </row>
    <row r="5" spans="1:7" ht="23.25" customHeight="1" x14ac:dyDescent="0.25">
      <c r="A5" s="116" t="s">
        <v>71</v>
      </c>
      <c r="B5" s="125">
        <v>3918957.3</v>
      </c>
      <c r="C5" s="125">
        <v>2154463.85</v>
      </c>
      <c r="D5" s="125">
        <v>2629.43</v>
      </c>
      <c r="E5" s="651">
        <f>SUM(B5:D5)</f>
        <v>6076050.5800000001</v>
      </c>
      <c r="F5" s="190">
        <v>40</v>
      </c>
      <c r="G5" s="185">
        <v>126</v>
      </c>
    </row>
    <row r="6" spans="1:7" ht="23.25" customHeight="1" x14ac:dyDescent="0.25">
      <c r="A6" s="116" t="s">
        <v>398</v>
      </c>
      <c r="B6" s="125">
        <v>8158636.8899999997</v>
      </c>
      <c r="C6" s="125">
        <v>4845478.9800000004</v>
      </c>
      <c r="D6" s="125">
        <v>-41907.440000000002</v>
      </c>
      <c r="E6" s="651">
        <f t="shared" ref="E6:E16" si="0">SUM(B6:D6)</f>
        <v>12962208.430000002</v>
      </c>
      <c r="F6" s="190">
        <v>102</v>
      </c>
      <c r="G6" s="185">
        <v>395</v>
      </c>
    </row>
    <row r="7" spans="1:7" ht="23.25" customHeight="1" x14ac:dyDescent="0.25">
      <c r="A7" s="116" t="s">
        <v>24</v>
      </c>
      <c r="B7" s="125">
        <v>7930973.04</v>
      </c>
      <c r="C7" s="125">
        <v>4259416.99</v>
      </c>
      <c r="D7" s="125">
        <v>-54481.120000000003</v>
      </c>
      <c r="E7" s="651">
        <f t="shared" si="0"/>
        <v>12135908.910000002</v>
      </c>
      <c r="F7" s="190">
        <v>89</v>
      </c>
      <c r="G7" s="185">
        <v>248</v>
      </c>
    </row>
    <row r="8" spans="1:7" ht="23.25" customHeight="1" x14ac:dyDescent="0.25">
      <c r="A8" s="116" t="s">
        <v>374</v>
      </c>
      <c r="B8" s="125">
        <v>20844904.77</v>
      </c>
      <c r="C8" s="125">
        <v>13070930.630000001</v>
      </c>
      <c r="D8" s="125">
        <v>-58356.54</v>
      </c>
      <c r="E8" s="651">
        <f t="shared" si="0"/>
        <v>33857478.859999999</v>
      </c>
      <c r="F8" s="190">
        <v>329</v>
      </c>
      <c r="G8" s="185">
        <v>1408</v>
      </c>
    </row>
    <row r="9" spans="1:7" ht="23.25" customHeight="1" x14ac:dyDescent="0.25">
      <c r="A9" s="116" t="s">
        <v>15</v>
      </c>
      <c r="B9" s="125">
        <v>2659716.27</v>
      </c>
      <c r="C9" s="125">
        <v>1608847.39</v>
      </c>
      <c r="D9" s="125">
        <v>-20161.599999999999</v>
      </c>
      <c r="E9" s="651">
        <f t="shared" si="0"/>
        <v>4248402.0600000005</v>
      </c>
      <c r="F9" s="190">
        <v>35</v>
      </c>
      <c r="G9" s="185">
        <v>52</v>
      </c>
    </row>
    <row r="10" spans="1:7" ht="23.25" customHeight="1" x14ac:dyDescent="0.25">
      <c r="A10" s="116" t="s">
        <v>16</v>
      </c>
      <c r="B10" s="125">
        <v>5748580.2599999998</v>
      </c>
      <c r="C10" s="125">
        <v>3478567.89</v>
      </c>
      <c r="D10" s="125">
        <v>-128347.14</v>
      </c>
      <c r="E10" s="651">
        <f t="shared" si="0"/>
        <v>9098801.0099999998</v>
      </c>
      <c r="F10" s="190">
        <v>75</v>
      </c>
      <c r="G10" s="185">
        <v>226</v>
      </c>
    </row>
    <row r="11" spans="1:7" ht="23.25" customHeight="1" x14ac:dyDescent="0.25">
      <c r="A11" s="116" t="s">
        <v>122</v>
      </c>
      <c r="B11" s="125">
        <v>3716388.6</v>
      </c>
      <c r="C11" s="125">
        <v>2229940.7400000002</v>
      </c>
      <c r="D11" s="125">
        <v>-2494.54</v>
      </c>
      <c r="E11" s="651">
        <f>SUM(B11:D11)</f>
        <v>5943834.7999999998</v>
      </c>
      <c r="F11" s="190">
        <v>48</v>
      </c>
      <c r="G11" s="185">
        <v>98</v>
      </c>
    </row>
    <row r="12" spans="1:7" ht="23.25" customHeight="1" x14ac:dyDescent="0.25">
      <c r="A12" s="116" t="s">
        <v>18</v>
      </c>
      <c r="B12" s="125">
        <v>40095.800000000003</v>
      </c>
      <c r="C12" s="125">
        <v>33516.120000000003</v>
      </c>
      <c r="D12" s="125">
        <v>27.49</v>
      </c>
      <c r="E12" s="651">
        <f t="shared" si="0"/>
        <v>73639.410000000018</v>
      </c>
      <c r="F12" s="190">
        <v>104</v>
      </c>
      <c r="G12" s="185">
        <v>0</v>
      </c>
    </row>
    <row r="13" spans="1:7" ht="23.25" customHeight="1" x14ac:dyDescent="0.25">
      <c r="A13" s="116" t="s">
        <v>19</v>
      </c>
      <c r="B13" s="125">
        <v>13155516.02</v>
      </c>
      <c r="C13" s="125">
        <v>7428459.0199999996</v>
      </c>
      <c r="D13" s="125">
        <v>-6404.81</v>
      </c>
      <c r="E13" s="651">
        <f t="shared" si="0"/>
        <v>20577570.23</v>
      </c>
      <c r="F13" s="190">
        <v>168</v>
      </c>
      <c r="G13" s="185">
        <v>535</v>
      </c>
    </row>
    <row r="14" spans="1:7" ht="23.25" customHeight="1" x14ac:dyDescent="0.25">
      <c r="A14" s="116" t="s">
        <v>25</v>
      </c>
      <c r="B14" s="125">
        <v>8162291.25</v>
      </c>
      <c r="C14" s="125">
        <v>4977592.42</v>
      </c>
      <c r="D14" s="125">
        <v>-62633.09</v>
      </c>
      <c r="E14" s="651">
        <f t="shared" si="0"/>
        <v>13077250.58</v>
      </c>
      <c r="F14" s="190">
        <v>118</v>
      </c>
      <c r="G14" s="185">
        <v>465</v>
      </c>
    </row>
    <row r="15" spans="1:7" ht="23.25" customHeight="1" x14ac:dyDescent="0.25">
      <c r="A15" s="116" t="s">
        <v>72</v>
      </c>
      <c r="B15" s="125">
        <v>5445970.6500000004</v>
      </c>
      <c r="C15" s="125">
        <v>2848807.98</v>
      </c>
      <c r="D15" s="125">
        <v>-35778.269999999997</v>
      </c>
      <c r="E15" s="651">
        <f t="shared" si="0"/>
        <v>8259000.3600000013</v>
      </c>
      <c r="F15" s="190">
        <v>44</v>
      </c>
      <c r="G15" s="185">
        <v>189</v>
      </c>
    </row>
    <row r="16" spans="1:7" ht="23.25" customHeight="1" thickBot="1" x14ac:dyDescent="0.3">
      <c r="A16" s="116" t="s">
        <v>244</v>
      </c>
      <c r="B16" s="125">
        <v>2129625.81</v>
      </c>
      <c r="C16" s="125">
        <v>1260242.53</v>
      </c>
      <c r="D16" s="125">
        <v>-18831</v>
      </c>
      <c r="E16" s="651">
        <f t="shared" si="0"/>
        <v>3371037.34</v>
      </c>
      <c r="F16" s="191">
        <v>29</v>
      </c>
      <c r="G16" s="186">
        <v>128</v>
      </c>
    </row>
    <row r="17" spans="1:7" ht="23.25" customHeight="1" thickBot="1" x14ac:dyDescent="0.3">
      <c r="A17" s="187" t="s">
        <v>26</v>
      </c>
      <c r="B17" s="188">
        <f t="shared" ref="B17:D17" si="1">SUM(B4:B16)</f>
        <v>100407759.58</v>
      </c>
      <c r="C17" s="188">
        <f t="shared" si="1"/>
        <v>59242025.970000006</v>
      </c>
      <c r="D17" s="188">
        <f t="shared" si="1"/>
        <v>-624363.55999999994</v>
      </c>
      <c r="E17" s="652">
        <f>SUM(E4:E16)</f>
        <v>159025421.99000004</v>
      </c>
      <c r="F17" s="649">
        <f>SUM(F4:F16)</f>
        <v>1429</v>
      </c>
      <c r="G17" s="649">
        <f>SUM(G4:G16)</f>
        <v>4699</v>
      </c>
    </row>
    <row r="18" spans="1:7" ht="16.5" thickTop="1" x14ac:dyDescent="0.25">
      <c r="A18" s="189"/>
    </row>
    <row r="19" spans="1:7" x14ac:dyDescent="0.2">
      <c r="A19" s="182" t="s">
        <v>805</v>
      </c>
      <c r="C19" s="157"/>
      <c r="D19" s="157"/>
    </row>
    <row r="20" spans="1:7" ht="15.75" x14ac:dyDescent="0.25">
      <c r="A20" s="130"/>
    </row>
  </sheetData>
  <mergeCells count="2">
    <mergeCell ref="A1:G1"/>
    <mergeCell ref="A2:G2"/>
  </mergeCells>
  <phoneticPr fontId="21" type="noConversion"/>
  <printOptions horizontalCentered="1" verticalCentered="1"/>
  <pageMargins left="0.25" right="0.25" top="0.75" bottom="0.75" header="0.3" footer="0.3"/>
  <pageSetup orientation="landscape" r:id="rId1"/>
  <headerFooter alignWithMargins="0">
    <oddHeader>&amp;C&amp;"Arial,Bold"&amp;12DEPARTMENT OF CORRECTIONS
 COST OF CARE Year 2021
(Based on Fiscal Year 2020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sheetPr>
  <dimension ref="A1:H274"/>
  <sheetViews>
    <sheetView showGridLines="0" topLeftCell="A40" workbookViewId="0">
      <selection activeCell="A141" sqref="A141"/>
    </sheetView>
  </sheetViews>
  <sheetFormatPr defaultColWidth="9.140625" defaultRowHeight="15" x14ac:dyDescent="0.25"/>
  <cols>
    <col min="1" max="1" width="19.85546875" style="137" bestFit="1" customWidth="1"/>
    <col min="2" max="2" width="29.5703125" style="137" customWidth="1"/>
    <col min="3" max="3" width="13.42578125" style="137" customWidth="1"/>
    <col min="4" max="4" width="15.7109375" style="137" customWidth="1"/>
    <col min="5" max="5" width="18.28515625" style="137" customWidth="1"/>
    <col min="6" max="6" width="8.28515625" style="200" customWidth="1"/>
    <col min="7" max="7" width="22.140625" style="137" customWidth="1"/>
    <col min="8" max="8" width="15.28515625" style="137" customWidth="1"/>
    <col min="9" max="16384" width="9.140625" style="137"/>
  </cols>
  <sheetData>
    <row r="1" spans="1:7" s="257" customFormat="1" ht="22.5" customHeight="1" thickBot="1" x14ac:dyDescent="0.25">
      <c r="A1" s="864" t="s">
        <v>225</v>
      </c>
      <c r="B1" s="864"/>
      <c r="C1" s="864"/>
      <c r="D1" s="864"/>
      <c r="E1" s="864"/>
      <c r="F1" s="256"/>
    </row>
    <row r="2" spans="1:7" ht="30" customHeight="1" thickTop="1" thickBot="1" x14ac:dyDescent="0.3">
      <c r="A2" s="258" t="s">
        <v>1</v>
      </c>
      <c r="B2" s="259" t="s">
        <v>2</v>
      </c>
      <c r="C2" s="259" t="s">
        <v>3</v>
      </c>
      <c r="D2" s="259" t="s">
        <v>4</v>
      </c>
      <c r="E2" s="258" t="s">
        <v>5</v>
      </c>
      <c r="F2" s="201" t="s">
        <v>463</v>
      </c>
    </row>
    <row r="3" spans="1:7" ht="12.75" customHeight="1" thickTop="1" x14ac:dyDescent="0.25">
      <c r="A3" s="202" t="s">
        <v>243</v>
      </c>
      <c r="B3" s="203" t="s">
        <v>12</v>
      </c>
      <c r="C3" s="204" t="s">
        <v>245</v>
      </c>
      <c r="D3" s="205"/>
      <c r="E3" s="206" t="s">
        <v>0</v>
      </c>
      <c r="F3" s="200">
        <v>1027</v>
      </c>
    </row>
    <row r="4" spans="1:7" ht="12.75" customHeight="1" x14ac:dyDescent="0.25">
      <c r="A4" s="118"/>
      <c r="B4" s="207" t="s">
        <v>701</v>
      </c>
      <c r="C4" s="208">
        <v>6.13E-2</v>
      </c>
      <c r="D4" s="209"/>
      <c r="E4" s="210" t="s">
        <v>0</v>
      </c>
      <c r="F4" s="200">
        <v>1028</v>
      </c>
      <c r="G4" s="211"/>
    </row>
    <row r="5" spans="1:7" ht="12.75" customHeight="1" x14ac:dyDescent="0.25">
      <c r="A5" s="118"/>
      <c r="B5" s="207" t="s">
        <v>464</v>
      </c>
      <c r="C5" s="208">
        <v>0.22</v>
      </c>
      <c r="D5" s="209"/>
      <c r="E5" s="212" t="s">
        <v>0</v>
      </c>
      <c r="F5" s="200">
        <v>1029</v>
      </c>
    </row>
    <row r="6" spans="1:7" ht="12.75" customHeight="1" x14ac:dyDescent="0.25">
      <c r="A6" s="118"/>
      <c r="B6" s="207" t="s">
        <v>465</v>
      </c>
      <c r="C6" s="522" t="s">
        <v>97</v>
      </c>
      <c r="D6" s="209"/>
      <c r="E6" s="212" t="s">
        <v>0</v>
      </c>
      <c r="F6" s="200">
        <v>1030</v>
      </c>
    </row>
    <row r="7" spans="1:7" ht="12.75" customHeight="1" x14ac:dyDescent="0.25">
      <c r="A7" s="118"/>
      <c r="B7" s="207" t="s">
        <v>466</v>
      </c>
      <c r="C7" s="522" t="s">
        <v>97</v>
      </c>
      <c r="D7" s="209"/>
      <c r="E7" s="212" t="s">
        <v>0</v>
      </c>
      <c r="F7" s="200">
        <v>1034</v>
      </c>
    </row>
    <row r="8" spans="1:7" ht="12.75" customHeight="1" x14ac:dyDescent="0.25">
      <c r="A8" s="118"/>
      <c r="B8" s="207" t="s">
        <v>467</v>
      </c>
      <c r="C8" s="522" t="s">
        <v>97</v>
      </c>
      <c r="D8" s="209"/>
      <c r="E8" s="212" t="s">
        <v>0</v>
      </c>
      <c r="F8" s="200">
        <v>1035</v>
      </c>
    </row>
    <row r="9" spans="1:7" ht="12.75" customHeight="1" x14ac:dyDescent="0.25">
      <c r="A9" s="118"/>
      <c r="B9" s="207" t="s">
        <v>468</v>
      </c>
      <c r="C9" s="523" t="s">
        <v>97</v>
      </c>
      <c r="D9" s="209"/>
      <c r="E9" s="212" t="s">
        <v>0</v>
      </c>
      <c r="F9" s="200">
        <v>1037</v>
      </c>
    </row>
    <row r="10" spans="1:7" ht="12.75" customHeight="1" x14ac:dyDescent="0.25">
      <c r="A10" s="118"/>
      <c r="B10" s="207" t="s">
        <v>8</v>
      </c>
      <c r="C10" s="208">
        <v>4.0000000000000001E-3</v>
      </c>
      <c r="D10" s="209"/>
      <c r="E10" s="212" t="s">
        <v>0</v>
      </c>
      <c r="F10" s="200">
        <v>1039</v>
      </c>
    </row>
    <row r="11" spans="1:7" ht="12.75" customHeight="1" x14ac:dyDescent="0.25">
      <c r="A11" s="118"/>
      <c r="B11" s="207" t="s">
        <v>9</v>
      </c>
      <c r="C11" s="460">
        <v>1542.5</v>
      </c>
      <c r="D11" s="209"/>
      <c r="E11" s="212" t="s">
        <v>0</v>
      </c>
      <c r="F11" s="200">
        <v>1040</v>
      </c>
    </row>
    <row r="12" spans="1:7" ht="12.75" customHeight="1" x14ac:dyDescent="0.25">
      <c r="A12" s="118"/>
      <c r="B12" s="207" t="s">
        <v>469</v>
      </c>
      <c r="C12" s="214" t="s">
        <v>268</v>
      </c>
      <c r="D12" s="209"/>
      <c r="E12" s="212"/>
      <c r="F12" s="200">
        <v>1041</v>
      </c>
    </row>
    <row r="13" spans="1:7" ht="12.75" customHeight="1" x14ac:dyDescent="0.25">
      <c r="A13" s="118"/>
      <c r="B13" s="207" t="s">
        <v>470</v>
      </c>
      <c r="C13" s="208">
        <v>4.5400000000000003E-2</v>
      </c>
      <c r="D13" s="209"/>
      <c r="E13" s="212"/>
      <c r="F13" s="200">
        <v>1042</v>
      </c>
    </row>
    <row r="14" spans="1:7" ht="12.75" customHeight="1" x14ac:dyDescent="0.25">
      <c r="A14" s="118"/>
      <c r="B14" s="207" t="s">
        <v>471</v>
      </c>
      <c r="C14" s="208">
        <v>2.3099999999999999E-2</v>
      </c>
      <c r="D14" s="209"/>
      <c r="E14" s="212" t="s">
        <v>0</v>
      </c>
      <c r="F14" s="200">
        <v>1047</v>
      </c>
    </row>
    <row r="15" spans="1:7" ht="12.75" customHeight="1" x14ac:dyDescent="0.25">
      <c r="A15" s="118"/>
      <c r="B15" s="207" t="s">
        <v>472</v>
      </c>
      <c r="C15" s="208">
        <v>1.4999999999999999E-2</v>
      </c>
      <c r="D15" s="209"/>
      <c r="E15" s="212" t="s">
        <v>0</v>
      </c>
      <c r="F15" s="200">
        <v>1048</v>
      </c>
    </row>
    <row r="16" spans="1:7" ht="12.75" customHeight="1" x14ac:dyDescent="0.25">
      <c r="A16" s="118"/>
      <c r="B16" s="207" t="s">
        <v>473</v>
      </c>
      <c r="C16" s="213" t="s">
        <v>282</v>
      </c>
      <c r="D16" s="205"/>
      <c r="E16" s="212"/>
      <c r="F16" s="200">
        <v>1049</v>
      </c>
    </row>
    <row r="17" spans="1:8" ht="12.75" customHeight="1" x14ac:dyDescent="0.25">
      <c r="A17" s="118"/>
      <c r="B17" s="215" t="s">
        <v>375</v>
      </c>
      <c r="C17" s="213"/>
      <c r="D17" s="205"/>
      <c r="E17" s="210"/>
    </row>
    <row r="18" spans="1:8" ht="12.75" customHeight="1" x14ac:dyDescent="0.25">
      <c r="A18" s="118"/>
      <c r="B18" s="207" t="s">
        <v>474</v>
      </c>
      <c r="C18" s="208">
        <v>1.4500000000000001E-2</v>
      </c>
      <c r="D18" s="209"/>
      <c r="E18" s="216"/>
      <c r="F18" s="200">
        <v>1053</v>
      </c>
    </row>
    <row r="19" spans="1:8" ht="12.75" customHeight="1" x14ac:dyDescent="0.25">
      <c r="A19" s="118"/>
      <c r="B19" s="217" t="s">
        <v>101</v>
      </c>
      <c r="C19" s="218"/>
      <c r="D19" s="219"/>
      <c r="E19" s="138"/>
      <c r="F19" s="200">
        <v>1004</v>
      </c>
      <c r="G19" s="524" t="s">
        <v>475</v>
      </c>
    </row>
    <row r="20" spans="1:8" ht="12.75" customHeight="1" thickBot="1" x14ac:dyDescent="0.3">
      <c r="A20" s="228"/>
      <c r="B20" s="795"/>
      <c r="C20" s="796"/>
      <c r="D20" s="797"/>
      <c r="E20" s="798">
        <f>11045761.43-197624.93</f>
        <v>10848136.5</v>
      </c>
      <c r="G20" s="167">
        <f>'Sched-B1'!C4+'Sched-B1'!D4</f>
        <v>10848136.5</v>
      </c>
      <c r="H20" s="167">
        <f>E20-G20</f>
        <v>0</v>
      </c>
    </row>
    <row r="21" spans="1:8" ht="12.75" customHeight="1" x14ac:dyDescent="0.25">
      <c r="A21" s="794" t="s">
        <v>71</v>
      </c>
      <c r="B21" s="203" t="s">
        <v>12</v>
      </c>
      <c r="C21" s="204" t="s">
        <v>245</v>
      </c>
      <c r="D21" s="205">
        <v>0</v>
      </c>
      <c r="E21" s="210" t="s">
        <v>0</v>
      </c>
    </row>
    <row r="22" spans="1:8" ht="12.75" customHeight="1" x14ac:dyDescent="0.25">
      <c r="A22" s="118"/>
      <c r="B22" s="207" t="s">
        <v>701</v>
      </c>
      <c r="C22" s="208">
        <v>6.13E-2</v>
      </c>
      <c r="D22" s="209"/>
      <c r="E22" s="210" t="s">
        <v>0</v>
      </c>
    </row>
    <row r="23" spans="1:8" ht="12.75" customHeight="1" x14ac:dyDescent="0.25">
      <c r="A23" s="118"/>
      <c r="B23" s="207" t="s">
        <v>464</v>
      </c>
      <c r="C23" s="208">
        <v>0.22</v>
      </c>
      <c r="D23" s="209"/>
      <c r="E23" s="212" t="s">
        <v>0</v>
      </c>
    </row>
    <row r="24" spans="1:8" ht="12.75" customHeight="1" x14ac:dyDescent="0.25">
      <c r="A24" s="118"/>
      <c r="B24" s="207" t="s">
        <v>465</v>
      </c>
      <c r="C24" s="522" t="s">
        <v>97</v>
      </c>
      <c r="D24" s="209"/>
      <c r="E24" s="212" t="s">
        <v>0</v>
      </c>
    </row>
    <row r="25" spans="1:8" ht="12.75" customHeight="1" x14ac:dyDescent="0.25">
      <c r="A25" s="118"/>
      <c r="B25" s="207" t="s">
        <v>466</v>
      </c>
      <c r="C25" s="522" t="s">
        <v>97</v>
      </c>
      <c r="D25" s="209"/>
      <c r="E25" s="212" t="s">
        <v>0</v>
      </c>
    </row>
    <row r="26" spans="1:8" ht="12.75" customHeight="1" x14ac:dyDescent="0.25">
      <c r="A26" s="118"/>
      <c r="B26" s="207" t="s">
        <v>467</v>
      </c>
      <c r="C26" s="522" t="s">
        <v>97</v>
      </c>
      <c r="D26" s="209"/>
      <c r="E26" s="212" t="s">
        <v>0</v>
      </c>
    </row>
    <row r="27" spans="1:8" ht="12.75" customHeight="1" x14ac:dyDescent="0.25">
      <c r="A27" s="118"/>
      <c r="B27" s="207" t="s">
        <v>468</v>
      </c>
      <c r="C27" s="522" t="s">
        <v>97</v>
      </c>
      <c r="D27" s="209"/>
      <c r="E27" s="212" t="s">
        <v>0</v>
      </c>
    </row>
    <row r="28" spans="1:8" ht="12.75" customHeight="1" x14ac:dyDescent="0.25">
      <c r="A28" s="118"/>
      <c r="B28" s="207" t="s">
        <v>8</v>
      </c>
      <c r="C28" s="208">
        <f>C10</f>
        <v>4.0000000000000001E-3</v>
      </c>
      <c r="D28" s="209"/>
      <c r="E28" s="212" t="s">
        <v>0</v>
      </c>
    </row>
    <row r="29" spans="1:8" ht="12.75" customHeight="1" x14ac:dyDescent="0.25">
      <c r="A29" s="118"/>
      <c r="B29" s="207" t="s">
        <v>9</v>
      </c>
      <c r="C29" s="460">
        <f>C11</f>
        <v>1542.5</v>
      </c>
      <c r="D29" s="209"/>
      <c r="E29" s="212" t="s">
        <v>0</v>
      </c>
    </row>
    <row r="30" spans="1:8" ht="12.75" customHeight="1" x14ac:dyDescent="0.25">
      <c r="A30" s="118"/>
      <c r="B30" s="207" t="s">
        <v>7</v>
      </c>
      <c r="C30" s="214" t="s">
        <v>268</v>
      </c>
      <c r="D30" s="209"/>
      <c r="E30" s="212"/>
    </row>
    <row r="31" spans="1:8" ht="12.75" customHeight="1" x14ac:dyDescent="0.25">
      <c r="A31" s="118"/>
      <c r="B31" s="207" t="s">
        <v>10</v>
      </c>
      <c r="C31" s="208">
        <f>C13</f>
        <v>4.5400000000000003E-2</v>
      </c>
      <c r="D31" s="209"/>
      <c r="E31" s="212"/>
    </row>
    <row r="32" spans="1:8" ht="12.75" customHeight="1" x14ac:dyDescent="0.25">
      <c r="A32" s="118"/>
      <c r="B32" s="207" t="s">
        <v>14</v>
      </c>
      <c r="C32" s="208">
        <f>C14</f>
        <v>2.3099999999999999E-2</v>
      </c>
      <c r="D32" s="209"/>
      <c r="E32" s="212" t="s">
        <v>0</v>
      </c>
    </row>
    <row r="33" spans="1:8" ht="12.75" customHeight="1" x14ac:dyDescent="0.25">
      <c r="A33" s="118"/>
      <c r="B33" s="207" t="s">
        <v>11</v>
      </c>
      <c r="C33" s="208">
        <f>C15</f>
        <v>1.4999999999999999E-2</v>
      </c>
      <c r="D33" s="209"/>
      <c r="E33" s="212" t="s">
        <v>0</v>
      </c>
    </row>
    <row r="34" spans="1:8" ht="12.75" customHeight="1" x14ac:dyDescent="0.25">
      <c r="A34" s="118"/>
      <c r="B34" s="215" t="s">
        <v>205</v>
      </c>
      <c r="C34" s="213" t="str">
        <f>C16</f>
        <v>$8.00/mo</v>
      </c>
      <c r="D34" s="209"/>
      <c r="E34" s="212"/>
    </row>
    <row r="35" spans="1:8" ht="12.75" customHeight="1" x14ac:dyDescent="0.25">
      <c r="A35" s="118"/>
      <c r="B35" s="207" t="s">
        <v>474</v>
      </c>
      <c r="C35" s="208">
        <f>C18</f>
        <v>1.4500000000000001E-2</v>
      </c>
      <c r="D35" s="209"/>
      <c r="E35" s="216"/>
    </row>
    <row r="36" spans="1:8" ht="12.75" customHeight="1" x14ac:dyDescent="0.25">
      <c r="A36" s="118"/>
      <c r="B36" s="217" t="s">
        <v>101</v>
      </c>
      <c r="C36" s="218"/>
      <c r="D36" s="219"/>
      <c r="E36" s="138"/>
      <c r="G36" s="167"/>
    </row>
    <row r="37" spans="1:8" ht="12.75" customHeight="1" thickBot="1" x14ac:dyDescent="0.3">
      <c r="A37" s="228"/>
      <c r="B37" s="795"/>
      <c r="C37" s="796"/>
      <c r="D37" s="797"/>
      <c r="E37" s="798">
        <f>2154463.85+2629.43</f>
        <v>2157093.2800000003</v>
      </c>
      <c r="G37" s="167">
        <f>'Sched-B1'!C5+'Sched-B1'!D5</f>
        <v>2157093.2800000003</v>
      </c>
      <c r="H37" s="167">
        <f>E37-G37</f>
        <v>0</v>
      </c>
    </row>
    <row r="38" spans="1:8" ht="12.75" customHeight="1" x14ac:dyDescent="0.25">
      <c r="A38" s="794" t="s">
        <v>13</v>
      </c>
      <c r="B38" s="203" t="s">
        <v>12</v>
      </c>
      <c r="C38" s="204" t="s">
        <v>245</v>
      </c>
      <c r="D38" s="205"/>
      <c r="E38" s="210" t="s">
        <v>0</v>
      </c>
    </row>
    <row r="39" spans="1:8" ht="12.75" customHeight="1" x14ac:dyDescent="0.25">
      <c r="A39" s="118"/>
      <c r="B39" s="207" t="s">
        <v>701</v>
      </c>
      <c r="C39" s="208">
        <v>6.13E-2</v>
      </c>
      <c r="D39" s="209"/>
      <c r="E39" s="210" t="s">
        <v>0</v>
      </c>
    </row>
    <row r="40" spans="1:8" ht="12.75" customHeight="1" x14ac:dyDescent="0.25">
      <c r="A40" s="118"/>
      <c r="B40" s="207" t="s">
        <v>464</v>
      </c>
      <c r="C40" s="208">
        <f>C5</f>
        <v>0.22</v>
      </c>
      <c r="D40" s="209"/>
      <c r="E40" s="212" t="s">
        <v>0</v>
      </c>
    </row>
    <row r="41" spans="1:8" ht="12.75" customHeight="1" x14ac:dyDescent="0.25">
      <c r="A41" s="118"/>
      <c r="B41" s="207" t="s">
        <v>465</v>
      </c>
      <c r="C41" s="522" t="s">
        <v>97</v>
      </c>
      <c r="D41" s="209"/>
      <c r="E41" s="212" t="s">
        <v>0</v>
      </c>
    </row>
    <row r="42" spans="1:8" ht="12.75" customHeight="1" x14ac:dyDescent="0.25">
      <c r="A42" s="118"/>
      <c r="B42" s="207" t="s">
        <v>466</v>
      </c>
      <c r="C42" s="522" t="s">
        <v>97</v>
      </c>
      <c r="D42" s="209"/>
      <c r="E42" s="212" t="s">
        <v>0</v>
      </c>
    </row>
    <row r="43" spans="1:8" ht="12.75" customHeight="1" x14ac:dyDescent="0.25">
      <c r="A43" s="118"/>
      <c r="B43" s="207" t="s">
        <v>467</v>
      </c>
      <c r="C43" s="522" t="s">
        <v>97</v>
      </c>
      <c r="D43" s="209"/>
      <c r="E43" s="212" t="s">
        <v>0</v>
      </c>
    </row>
    <row r="44" spans="1:8" ht="12.75" customHeight="1" x14ac:dyDescent="0.25">
      <c r="A44" s="118"/>
      <c r="B44" s="207" t="s">
        <v>468</v>
      </c>
      <c r="C44" s="522" t="s">
        <v>97</v>
      </c>
      <c r="D44" s="209"/>
      <c r="E44" s="212" t="s">
        <v>0</v>
      </c>
    </row>
    <row r="45" spans="1:8" ht="12.75" customHeight="1" x14ac:dyDescent="0.25">
      <c r="A45" s="118"/>
      <c r="B45" s="207" t="s">
        <v>8</v>
      </c>
      <c r="C45" s="208">
        <f>C10</f>
        <v>4.0000000000000001E-3</v>
      </c>
      <c r="D45" s="209"/>
      <c r="E45" s="212" t="s">
        <v>0</v>
      </c>
    </row>
    <row r="46" spans="1:8" ht="12.75" customHeight="1" x14ac:dyDescent="0.25">
      <c r="A46" s="118"/>
      <c r="B46" s="207" t="s">
        <v>9</v>
      </c>
      <c r="C46" s="460">
        <f>C11</f>
        <v>1542.5</v>
      </c>
      <c r="D46" s="209"/>
      <c r="E46" s="212" t="s">
        <v>0</v>
      </c>
    </row>
    <row r="47" spans="1:8" ht="12.75" customHeight="1" x14ac:dyDescent="0.25">
      <c r="A47" s="118"/>
      <c r="B47" s="207" t="s">
        <v>7</v>
      </c>
      <c r="C47" s="214" t="s">
        <v>268</v>
      </c>
      <c r="D47" s="209"/>
      <c r="E47" s="212"/>
    </row>
    <row r="48" spans="1:8" ht="12.75" customHeight="1" x14ac:dyDescent="0.25">
      <c r="A48" s="118"/>
      <c r="B48" s="207" t="s">
        <v>10</v>
      </c>
      <c r="C48" s="208">
        <f>C13</f>
        <v>4.5400000000000003E-2</v>
      </c>
      <c r="D48" s="209"/>
      <c r="E48" s="212" t="s">
        <v>0</v>
      </c>
    </row>
    <row r="49" spans="1:8" ht="12.75" customHeight="1" x14ac:dyDescent="0.25">
      <c r="A49" s="118"/>
      <c r="B49" s="207" t="s">
        <v>14</v>
      </c>
      <c r="C49" s="208">
        <f>C14</f>
        <v>2.3099999999999999E-2</v>
      </c>
      <c r="D49" s="209"/>
      <c r="E49" s="212"/>
    </row>
    <row r="50" spans="1:8" ht="12.75" customHeight="1" x14ac:dyDescent="0.25">
      <c r="A50" s="118"/>
      <c r="B50" s="207" t="s">
        <v>11</v>
      </c>
      <c r="C50" s="208">
        <f>C15</f>
        <v>1.4999999999999999E-2</v>
      </c>
      <c r="D50" s="209"/>
      <c r="E50" s="212"/>
    </row>
    <row r="51" spans="1:8" ht="12.75" customHeight="1" x14ac:dyDescent="0.25">
      <c r="A51" s="118"/>
      <c r="B51" s="215" t="s">
        <v>205</v>
      </c>
      <c r="C51" s="213" t="s">
        <v>282</v>
      </c>
      <c r="D51" s="209"/>
      <c r="E51" s="212"/>
    </row>
    <row r="52" spans="1:8" ht="12.75" customHeight="1" x14ac:dyDescent="0.25">
      <c r="A52" s="118"/>
      <c r="B52" s="207" t="s">
        <v>474</v>
      </c>
      <c r="C52" s="208">
        <f>C18</f>
        <v>1.4500000000000001E-2</v>
      </c>
      <c r="D52" s="220"/>
      <c r="E52" s="221"/>
    </row>
    <row r="53" spans="1:8" ht="12.75" customHeight="1" x14ac:dyDescent="0.25">
      <c r="A53" s="118"/>
      <c r="B53" s="217" t="s">
        <v>101</v>
      </c>
      <c r="C53" s="222"/>
      <c r="D53" s="220"/>
      <c r="E53" s="118"/>
      <c r="G53" s="167"/>
    </row>
    <row r="54" spans="1:8" ht="12.75" customHeight="1" thickBot="1" x14ac:dyDescent="0.3">
      <c r="A54" s="228"/>
      <c r="B54" s="795"/>
      <c r="C54" s="800"/>
      <c r="D54" s="801"/>
      <c r="E54" s="798">
        <f>4845478.98-41907.44</f>
        <v>4803571.54</v>
      </c>
      <c r="G54" s="167">
        <f>'Sched-B1'!C6+'Sched-B1'!D6</f>
        <v>4803571.54</v>
      </c>
      <c r="H54" s="223">
        <f>E54-G54</f>
        <v>0</v>
      </c>
    </row>
    <row r="55" spans="1:8" ht="12.75" customHeight="1" x14ac:dyDescent="0.25">
      <c r="A55" s="794" t="s">
        <v>24</v>
      </c>
      <c r="B55" s="203" t="s">
        <v>12</v>
      </c>
      <c r="C55" s="204" t="s">
        <v>245</v>
      </c>
      <c r="D55" s="799"/>
      <c r="E55" s="210" t="s">
        <v>0</v>
      </c>
    </row>
    <row r="56" spans="1:8" ht="12.75" customHeight="1" x14ac:dyDescent="0.25">
      <c r="A56" s="118"/>
      <c r="B56" s="207" t="s">
        <v>701</v>
      </c>
      <c r="C56" s="208">
        <v>6.13E-2</v>
      </c>
      <c r="D56" s="220"/>
      <c r="E56" s="212"/>
    </row>
    <row r="57" spans="1:8" ht="12.75" customHeight="1" x14ac:dyDescent="0.25">
      <c r="A57" s="118"/>
      <c r="B57" s="207" t="s">
        <v>464</v>
      </c>
      <c r="C57" s="208">
        <v>0.22</v>
      </c>
      <c r="D57" s="220"/>
      <c r="E57" s="212"/>
    </row>
    <row r="58" spans="1:8" ht="12.75" customHeight="1" x14ac:dyDescent="0.25">
      <c r="A58" s="202"/>
      <c r="B58" s="207" t="s">
        <v>465</v>
      </c>
      <c r="C58" s="522" t="s">
        <v>97</v>
      </c>
      <c r="D58" s="209"/>
      <c r="E58" s="212" t="s">
        <v>0</v>
      </c>
    </row>
    <row r="59" spans="1:8" ht="12.75" customHeight="1" x14ac:dyDescent="0.25">
      <c r="A59" s="118"/>
      <c r="B59" s="207" t="s">
        <v>466</v>
      </c>
      <c r="C59" s="522" t="s">
        <v>97</v>
      </c>
      <c r="D59" s="209"/>
      <c r="E59" s="212" t="s">
        <v>0</v>
      </c>
    </row>
    <row r="60" spans="1:8" ht="12.75" customHeight="1" x14ac:dyDescent="0.25">
      <c r="A60" s="118"/>
      <c r="B60" s="207" t="s">
        <v>467</v>
      </c>
      <c r="C60" s="522" t="s">
        <v>97</v>
      </c>
      <c r="D60" s="209"/>
      <c r="E60" s="212" t="s">
        <v>0</v>
      </c>
    </row>
    <row r="61" spans="1:8" ht="12.75" customHeight="1" x14ac:dyDescent="0.25">
      <c r="A61" s="118"/>
      <c r="B61" s="207" t="s">
        <v>468</v>
      </c>
      <c r="C61" s="522" t="s">
        <v>97</v>
      </c>
      <c r="D61" s="209"/>
      <c r="E61" s="212" t="s">
        <v>0</v>
      </c>
    </row>
    <row r="62" spans="1:8" ht="12.75" customHeight="1" x14ac:dyDescent="0.25">
      <c r="A62" s="118"/>
      <c r="B62" s="224" t="s">
        <v>8</v>
      </c>
      <c r="C62" s="208">
        <v>3.5999999999999999E-3</v>
      </c>
      <c r="D62" s="220"/>
      <c r="E62" s="212"/>
    </row>
    <row r="63" spans="1:8" ht="12.75" customHeight="1" x14ac:dyDescent="0.25">
      <c r="A63" s="118"/>
      <c r="B63" s="224" t="s">
        <v>9</v>
      </c>
      <c r="C63" s="460">
        <f>C11</f>
        <v>1542.5</v>
      </c>
      <c r="D63" s="220"/>
      <c r="E63" s="212"/>
    </row>
    <row r="64" spans="1:8" ht="12.75" customHeight="1" x14ac:dyDescent="0.25">
      <c r="A64" s="118"/>
      <c r="B64" s="224" t="s">
        <v>7</v>
      </c>
      <c r="C64" s="214" t="s">
        <v>268</v>
      </c>
      <c r="D64" s="220"/>
      <c r="E64" s="212"/>
    </row>
    <row r="65" spans="1:8" ht="12.75" customHeight="1" x14ac:dyDescent="0.25">
      <c r="A65" s="118"/>
      <c r="B65" s="224" t="s">
        <v>10</v>
      </c>
      <c r="C65" s="208">
        <f>C13</f>
        <v>4.5400000000000003E-2</v>
      </c>
      <c r="D65" s="220"/>
      <c r="E65" s="212"/>
    </row>
    <row r="66" spans="1:8" ht="12.75" customHeight="1" x14ac:dyDescent="0.25">
      <c r="A66" s="118"/>
      <c r="B66" s="224" t="s">
        <v>14</v>
      </c>
      <c r="C66" s="208">
        <f>C14</f>
        <v>2.3099999999999999E-2</v>
      </c>
      <c r="D66" s="220"/>
      <c r="E66" s="212"/>
    </row>
    <row r="67" spans="1:8" ht="12.75" customHeight="1" x14ac:dyDescent="0.25">
      <c r="A67" s="118"/>
      <c r="B67" s="224" t="s">
        <v>11</v>
      </c>
      <c r="C67" s="208">
        <f>C15</f>
        <v>1.4999999999999999E-2</v>
      </c>
      <c r="D67" s="220"/>
      <c r="E67" s="212"/>
    </row>
    <row r="68" spans="1:8" ht="12.75" customHeight="1" x14ac:dyDescent="0.25">
      <c r="A68" s="118"/>
      <c r="B68" s="118" t="s">
        <v>205</v>
      </c>
      <c r="C68" s="213" t="s">
        <v>282</v>
      </c>
      <c r="D68" s="220"/>
      <c r="E68" s="212"/>
    </row>
    <row r="69" spans="1:8" ht="12.75" customHeight="1" x14ac:dyDescent="0.25">
      <c r="A69" s="118"/>
      <c r="B69" s="207" t="s">
        <v>474</v>
      </c>
      <c r="C69" s="208">
        <v>1.4500000000000001E-2</v>
      </c>
      <c r="D69" s="220"/>
      <c r="E69" s="212"/>
    </row>
    <row r="70" spans="1:8" ht="12.75" customHeight="1" x14ac:dyDescent="0.25">
      <c r="A70" s="118"/>
      <c r="B70" s="224" t="s">
        <v>101</v>
      </c>
      <c r="C70" s="218"/>
      <c r="D70" s="220"/>
      <c r="E70" s="212"/>
      <c r="G70" s="167"/>
    </row>
    <row r="71" spans="1:8" ht="12.75" customHeight="1" thickBot="1" x14ac:dyDescent="0.3">
      <c r="A71" s="228"/>
      <c r="B71" s="229"/>
      <c r="C71" s="230"/>
      <c r="D71" s="231"/>
      <c r="E71" s="798">
        <f>4259416.99-54481.12</f>
        <v>4204935.87</v>
      </c>
      <c r="G71" s="167">
        <f>'Sched-B1'!C7+'Sched-B1'!D7</f>
        <v>4204935.87</v>
      </c>
      <c r="H71" s="167">
        <f>E71-G71</f>
        <v>0</v>
      </c>
    </row>
    <row r="72" spans="1:8" ht="12.75" customHeight="1" x14ac:dyDescent="0.25">
      <c r="A72" s="794" t="s">
        <v>374</v>
      </c>
      <c r="B72" s="203" t="s">
        <v>12</v>
      </c>
      <c r="C72" s="204" t="s">
        <v>245</v>
      </c>
      <c r="D72" s="799">
        <v>0</v>
      </c>
      <c r="E72" s="210" t="s">
        <v>0</v>
      </c>
    </row>
    <row r="73" spans="1:8" ht="12.75" customHeight="1" x14ac:dyDescent="0.25">
      <c r="A73" s="118"/>
      <c r="B73" s="207" t="s">
        <v>701</v>
      </c>
      <c r="C73" s="208">
        <v>6.13E-2</v>
      </c>
      <c r="D73" s="220"/>
      <c r="E73" s="212"/>
    </row>
    <row r="74" spans="1:8" ht="12.75" customHeight="1" x14ac:dyDescent="0.25">
      <c r="A74" s="118"/>
      <c r="B74" s="207" t="s">
        <v>464</v>
      </c>
      <c r="C74" s="208">
        <v>0.22</v>
      </c>
      <c r="D74" s="220"/>
      <c r="E74" s="212"/>
    </row>
    <row r="75" spans="1:8" ht="12.75" customHeight="1" x14ac:dyDescent="0.25">
      <c r="A75" s="118"/>
      <c r="B75" s="207" t="s">
        <v>465</v>
      </c>
      <c r="C75" s="522" t="s">
        <v>97</v>
      </c>
      <c r="D75" s="209"/>
      <c r="E75" s="212" t="s">
        <v>0</v>
      </c>
    </row>
    <row r="76" spans="1:8" ht="12.75" customHeight="1" x14ac:dyDescent="0.25">
      <c r="A76" s="118"/>
      <c r="B76" s="207" t="s">
        <v>466</v>
      </c>
      <c r="C76" s="522" t="s">
        <v>97</v>
      </c>
      <c r="D76" s="209"/>
      <c r="E76" s="212" t="s">
        <v>0</v>
      </c>
    </row>
    <row r="77" spans="1:8" ht="12.75" customHeight="1" x14ac:dyDescent="0.25">
      <c r="A77" s="118"/>
      <c r="B77" s="207" t="s">
        <v>467</v>
      </c>
      <c r="C77" s="522" t="s">
        <v>97</v>
      </c>
      <c r="D77" s="209"/>
      <c r="E77" s="212" t="s">
        <v>0</v>
      </c>
    </row>
    <row r="78" spans="1:8" ht="12.75" customHeight="1" x14ac:dyDescent="0.25">
      <c r="A78" s="118"/>
      <c r="B78" s="207" t="s">
        <v>468</v>
      </c>
      <c r="C78" s="522" t="s">
        <v>97</v>
      </c>
      <c r="D78" s="209"/>
      <c r="E78" s="212" t="s">
        <v>0</v>
      </c>
    </row>
    <row r="79" spans="1:8" ht="12.75" customHeight="1" x14ac:dyDescent="0.25">
      <c r="A79" s="118"/>
      <c r="B79" s="224" t="s">
        <v>8</v>
      </c>
      <c r="C79" s="208">
        <v>3.5999999999999999E-3</v>
      </c>
      <c r="D79" s="220"/>
      <c r="E79" s="212"/>
    </row>
    <row r="80" spans="1:8" ht="12.75" customHeight="1" x14ac:dyDescent="0.25">
      <c r="A80" s="118"/>
      <c r="B80" s="224" t="s">
        <v>9</v>
      </c>
      <c r="C80" s="460">
        <f>C11</f>
        <v>1542.5</v>
      </c>
      <c r="D80" s="220"/>
      <c r="E80" s="212"/>
    </row>
    <row r="81" spans="1:8" ht="12.75" customHeight="1" x14ac:dyDescent="0.25">
      <c r="A81" s="118"/>
      <c r="B81" s="224" t="s">
        <v>7</v>
      </c>
      <c r="C81" s="214" t="s">
        <v>268</v>
      </c>
      <c r="D81" s="220"/>
      <c r="E81" s="212"/>
    </row>
    <row r="82" spans="1:8" ht="12.75" customHeight="1" x14ac:dyDescent="0.25">
      <c r="A82" s="118"/>
      <c r="B82" s="224" t="s">
        <v>10</v>
      </c>
      <c r="C82" s="208">
        <f>C13</f>
        <v>4.5400000000000003E-2</v>
      </c>
      <c r="D82" s="220"/>
      <c r="E82" s="212"/>
    </row>
    <row r="83" spans="1:8" ht="12.75" customHeight="1" x14ac:dyDescent="0.25">
      <c r="A83" s="118"/>
      <c r="B83" s="224" t="s">
        <v>14</v>
      </c>
      <c r="C83" s="208">
        <f>C14</f>
        <v>2.3099999999999999E-2</v>
      </c>
      <c r="D83" s="220"/>
      <c r="E83" s="212"/>
    </row>
    <row r="84" spans="1:8" ht="12.75" customHeight="1" x14ac:dyDescent="0.25">
      <c r="A84" s="118"/>
      <c r="B84" s="224" t="s">
        <v>11</v>
      </c>
      <c r="C84" s="208">
        <f>C15</f>
        <v>1.4999999999999999E-2</v>
      </c>
      <c r="D84" s="220"/>
      <c r="E84" s="212"/>
    </row>
    <row r="85" spans="1:8" ht="12.75" customHeight="1" x14ac:dyDescent="0.25">
      <c r="A85" s="118"/>
      <c r="B85" s="118" t="s">
        <v>205</v>
      </c>
      <c r="C85" s="213" t="s">
        <v>282</v>
      </c>
      <c r="D85" s="220"/>
      <c r="E85" s="212"/>
    </row>
    <row r="86" spans="1:8" ht="12.75" customHeight="1" x14ac:dyDescent="0.25">
      <c r="A86" s="118"/>
      <c r="B86" s="207" t="s">
        <v>474</v>
      </c>
      <c r="C86" s="208">
        <v>1.4500000000000001E-2</v>
      </c>
      <c r="D86" s="220"/>
      <c r="E86" s="212"/>
    </row>
    <row r="87" spans="1:8" ht="12.75" customHeight="1" x14ac:dyDescent="0.25">
      <c r="A87" s="118"/>
      <c r="B87" s="224" t="s">
        <v>101</v>
      </c>
      <c r="C87" s="218"/>
      <c r="D87" s="220"/>
      <c r="E87" s="212"/>
      <c r="G87" s="167"/>
    </row>
    <row r="88" spans="1:8" ht="12.75" customHeight="1" thickBot="1" x14ac:dyDescent="0.3">
      <c r="A88" s="228"/>
      <c r="B88" s="229"/>
      <c r="C88" s="230"/>
      <c r="D88" s="231"/>
      <c r="E88" s="798">
        <f>13070930.63-58356.54</f>
        <v>13012574.090000002</v>
      </c>
      <c r="G88" s="167">
        <f>'Sched-B1'!C8+'Sched-B1'!D8</f>
        <v>13012574.090000002</v>
      </c>
      <c r="H88" s="167">
        <f>E88-G88</f>
        <v>0</v>
      </c>
    </row>
    <row r="89" spans="1:8" ht="12.75" customHeight="1" x14ac:dyDescent="0.25">
      <c r="A89" s="794" t="s">
        <v>15</v>
      </c>
      <c r="B89" s="203" t="s">
        <v>12</v>
      </c>
      <c r="C89" s="204" t="s">
        <v>245</v>
      </c>
      <c r="D89" s="799">
        <v>0</v>
      </c>
      <c r="E89" s="210" t="s">
        <v>0</v>
      </c>
    </row>
    <row r="90" spans="1:8" ht="12.75" customHeight="1" x14ac:dyDescent="0.25">
      <c r="A90" s="118"/>
      <c r="B90" s="207" t="s">
        <v>701</v>
      </c>
      <c r="C90" s="208">
        <v>6.13E-2</v>
      </c>
      <c r="D90" s="220"/>
      <c r="E90" s="212"/>
    </row>
    <row r="91" spans="1:8" ht="12.75" customHeight="1" x14ac:dyDescent="0.25">
      <c r="A91" s="118"/>
      <c r="B91" s="207" t="s">
        <v>464</v>
      </c>
      <c r="C91" s="208">
        <v>0.22</v>
      </c>
      <c r="D91" s="220"/>
      <c r="E91" s="212"/>
    </row>
    <row r="92" spans="1:8" ht="12.75" customHeight="1" x14ac:dyDescent="0.25">
      <c r="A92" s="118"/>
      <c r="B92" s="207" t="s">
        <v>465</v>
      </c>
      <c r="C92" s="522" t="s">
        <v>97</v>
      </c>
      <c r="D92" s="209"/>
      <c r="E92" s="212" t="s">
        <v>0</v>
      </c>
    </row>
    <row r="93" spans="1:8" ht="12.75" customHeight="1" x14ac:dyDescent="0.25">
      <c r="A93" s="118"/>
      <c r="B93" s="207" t="s">
        <v>466</v>
      </c>
      <c r="C93" s="522" t="s">
        <v>97</v>
      </c>
      <c r="D93" s="209"/>
      <c r="E93" s="212" t="s">
        <v>0</v>
      </c>
    </row>
    <row r="94" spans="1:8" ht="12.75" customHeight="1" x14ac:dyDescent="0.25">
      <c r="A94" s="118"/>
      <c r="B94" s="207" t="s">
        <v>467</v>
      </c>
      <c r="C94" s="522" t="s">
        <v>97</v>
      </c>
      <c r="D94" s="209"/>
      <c r="E94" s="212" t="s">
        <v>0</v>
      </c>
    </row>
    <row r="95" spans="1:8" ht="12.75" customHeight="1" x14ac:dyDescent="0.25">
      <c r="A95" s="118"/>
      <c r="B95" s="207" t="s">
        <v>468</v>
      </c>
      <c r="C95" s="522" t="s">
        <v>97</v>
      </c>
      <c r="D95" s="209"/>
      <c r="E95" s="212" t="s">
        <v>0</v>
      </c>
    </row>
    <row r="96" spans="1:8" ht="12.75" customHeight="1" x14ac:dyDescent="0.25">
      <c r="A96" s="118"/>
      <c r="B96" s="224" t="s">
        <v>8</v>
      </c>
      <c r="C96" s="208">
        <v>3.5999999999999999E-3</v>
      </c>
      <c r="D96" s="220"/>
      <c r="E96" s="212"/>
    </row>
    <row r="97" spans="1:8" ht="12.75" customHeight="1" x14ac:dyDescent="0.25">
      <c r="A97" s="118"/>
      <c r="B97" s="224" t="s">
        <v>9</v>
      </c>
      <c r="C97" s="460">
        <f>C11</f>
        <v>1542.5</v>
      </c>
      <c r="D97" s="220"/>
      <c r="E97" s="212"/>
    </row>
    <row r="98" spans="1:8" ht="12.75" customHeight="1" x14ac:dyDescent="0.25">
      <c r="A98" s="118"/>
      <c r="B98" s="224" t="s">
        <v>7</v>
      </c>
      <c r="C98" s="214" t="s">
        <v>268</v>
      </c>
      <c r="D98" s="220"/>
      <c r="E98" s="212"/>
    </row>
    <row r="99" spans="1:8" ht="12.75" customHeight="1" x14ac:dyDescent="0.25">
      <c r="A99" s="118"/>
      <c r="B99" s="224" t="s">
        <v>10</v>
      </c>
      <c r="C99" s="208">
        <f>C13</f>
        <v>4.5400000000000003E-2</v>
      </c>
      <c r="D99" s="220"/>
      <c r="E99" s="212"/>
    </row>
    <row r="100" spans="1:8" ht="12.75" customHeight="1" x14ac:dyDescent="0.25">
      <c r="A100" s="118"/>
      <c r="B100" s="224" t="s">
        <v>14</v>
      </c>
      <c r="C100" s="208">
        <f>C14</f>
        <v>2.3099999999999999E-2</v>
      </c>
      <c r="D100" s="220"/>
      <c r="E100" s="212"/>
    </row>
    <row r="101" spans="1:8" ht="12.75" customHeight="1" x14ac:dyDescent="0.25">
      <c r="A101" s="118"/>
      <c r="B101" s="224" t="s">
        <v>11</v>
      </c>
      <c r="C101" s="208">
        <f>C15</f>
        <v>1.4999999999999999E-2</v>
      </c>
      <c r="D101" s="220"/>
      <c r="E101" s="212"/>
    </row>
    <row r="102" spans="1:8" ht="12.75" customHeight="1" x14ac:dyDescent="0.25">
      <c r="A102" s="118"/>
      <c r="B102" s="118" t="s">
        <v>205</v>
      </c>
      <c r="C102" s="213" t="s">
        <v>282</v>
      </c>
      <c r="D102" s="220"/>
      <c r="E102" s="212"/>
    </row>
    <row r="103" spans="1:8" ht="12.75" customHeight="1" x14ac:dyDescent="0.25">
      <c r="A103" s="118"/>
      <c r="B103" s="207" t="s">
        <v>474</v>
      </c>
      <c r="C103" s="208">
        <f>C18</f>
        <v>1.4500000000000001E-2</v>
      </c>
      <c r="D103" s="220"/>
      <c r="E103" s="212"/>
    </row>
    <row r="104" spans="1:8" ht="12.75" customHeight="1" x14ac:dyDescent="0.25">
      <c r="A104" s="118"/>
      <c r="B104" s="224" t="s">
        <v>101</v>
      </c>
      <c r="C104" s="218"/>
      <c r="D104" s="220"/>
      <c r="E104" s="254"/>
      <c r="G104" s="167"/>
    </row>
    <row r="105" spans="1:8" ht="12.75" customHeight="1" thickBot="1" x14ac:dyDescent="0.3">
      <c r="A105" s="228"/>
      <c r="B105" s="229"/>
      <c r="C105" s="230"/>
      <c r="D105" s="231"/>
      <c r="E105" s="798">
        <f>1608847.39-20161.6</f>
        <v>1588685.7899999998</v>
      </c>
      <c r="G105" s="167">
        <f>'Sched-B1'!C9+'Sched-B1'!D9</f>
        <v>1588685.7899999998</v>
      </c>
      <c r="H105" s="167">
        <f>E105-G105</f>
        <v>0</v>
      </c>
    </row>
    <row r="106" spans="1:8" ht="12.75" customHeight="1" x14ac:dyDescent="0.25">
      <c r="A106" s="794" t="s">
        <v>16</v>
      </c>
      <c r="B106" s="203" t="s">
        <v>12</v>
      </c>
      <c r="C106" s="204" t="s">
        <v>245</v>
      </c>
      <c r="D106" s="799">
        <v>0</v>
      </c>
      <c r="E106" s="210" t="s">
        <v>0</v>
      </c>
    </row>
    <row r="107" spans="1:8" ht="12.75" customHeight="1" x14ac:dyDescent="0.25">
      <c r="A107" s="118"/>
      <c r="B107" s="207" t="s">
        <v>701</v>
      </c>
      <c r="C107" s="208">
        <v>6.13E-2</v>
      </c>
      <c r="D107" s="220"/>
      <c r="E107" s="212"/>
    </row>
    <row r="108" spans="1:8" ht="12.75" customHeight="1" x14ac:dyDescent="0.25">
      <c r="A108" s="118"/>
      <c r="B108" s="207" t="s">
        <v>464</v>
      </c>
      <c r="C108" s="208">
        <v>0.22</v>
      </c>
      <c r="D108" s="220"/>
      <c r="E108" s="212"/>
    </row>
    <row r="109" spans="1:8" ht="12.75" customHeight="1" x14ac:dyDescent="0.25">
      <c r="A109" s="118"/>
      <c r="B109" s="207" t="s">
        <v>465</v>
      </c>
      <c r="C109" s="522" t="s">
        <v>97</v>
      </c>
      <c r="D109" s="209"/>
      <c r="E109" s="212" t="s">
        <v>0</v>
      </c>
    </row>
    <row r="110" spans="1:8" ht="12.75" customHeight="1" x14ac:dyDescent="0.25">
      <c r="A110" s="118"/>
      <c r="B110" s="207" t="s">
        <v>466</v>
      </c>
      <c r="C110" s="522" t="s">
        <v>97</v>
      </c>
      <c r="D110" s="209"/>
      <c r="E110" s="212" t="s">
        <v>0</v>
      </c>
    </row>
    <row r="111" spans="1:8" ht="12.75" customHeight="1" x14ac:dyDescent="0.25">
      <c r="A111" s="118"/>
      <c r="B111" s="207" t="s">
        <v>467</v>
      </c>
      <c r="C111" s="522" t="s">
        <v>97</v>
      </c>
      <c r="D111" s="209"/>
      <c r="E111" s="212" t="s">
        <v>0</v>
      </c>
    </row>
    <row r="112" spans="1:8" ht="12.75" customHeight="1" x14ac:dyDescent="0.25">
      <c r="A112" s="118"/>
      <c r="B112" s="207" t="s">
        <v>468</v>
      </c>
      <c r="C112" s="522" t="s">
        <v>97</v>
      </c>
      <c r="D112" s="209"/>
      <c r="E112" s="212" t="s">
        <v>0</v>
      </c>
    </row>
    <row r="113" spans="1:8" ht="12.75" customHeight="1" x14ac:dyDescent="0.25">
      <c r="A113" s="118"/>
      <c r="B113" s="224" t="s">
        <v>8</v>
      </c>
      <c r="C113" s="208">
        <v>3.5999999999999999E-3</v>
      </c>
      <c r="D113" s="220"/>
      <c r="E113" s="212"/>
    </row>
    <row r="114" spans="1:8" ht="12.75" customHeight="1" x14ac:dyDescent="0.25">
      <c r="A114" s="118"/>
      <c r="B114" s="224" t="s">
        <v>9</v>
      </c>
      <c r="C114" s="460">
        <f>C11</f>
        <v>1542.5</v>
      </c>
      <c r="D114" s="220"/>
      <c r="E114" s="212"/>
    </row>
    <row r="115" spans="1:8" ht="12.75" customHeight="1" x14ac:dyDescent="0.25">
      <c r="A115" s="118"/>
      <c r="B115" s="224" t="s">
        <v>7</v>
      </c>
      <c r="C115" s="214" t="s">
        <v>268</v>
      </c>
      <c r="D115" s="220"/>
      <c r="E115" s="212"/>
    </row>
    <row r="116" spans="1:8" ht="12.75" customHeight="1" x14ac:dyDescent="0.25">
      <c r="A116" s="118"/>
      <c r="B116" s="224" t="s">
        <v>10</v>
      </c>
      <c r="C116" s="208">
        <f>C13</f>
        <v>4.5400000000000003E-2</v>
      </c>
      <c r="D116" s="220"/>
      <c r="E116" s="212"/>
    </row>
    <row r="117" spans="1:8" ht="12.75" customHeight="1" x14ac:dyDescent="0.25">
      <c r="A117" s="118"/>
      <c r="B117" s="224" t="s">
        <v>14</v>
      </c>
      <c r="C117" s="208">
        <f>C14</f>
        <v>2.3099999999999999E-2</v>
      </c>
      <c r="D117" s="220"/>
      <c r="E117" s="212"/>
    </row>
    <row r="118" spans="1:8" ht="12.75" customHeight="1" x14ac:dyDescent="0.25">
      <c r="A118" s="118"/>
      <c r="B118" s="224" t="s">
        <v>11</v>
      </c>
      <c r="C118" s="208">
        <f>C15</f>
        <v>1.4999999999999999E-2</v>
      </c>
      <c r="D118" s="220"/>
      <c r="E118" s="212"/>
    </row>
    <row r="119" spans="1:8" ht="12.75" customHeight="1" x14ac:dyDescent="0.25">
      <c r="A119" s="118"/>
      <c r="B119" s="118" t="s">
        <v>205</v>
      </c>
      <c r="C119" s="213" t="s">
        <v>282</v>
      </c>
      <c r="D119" s="220"/>
      <c r="E119" s="212"/>
    </row>
    <row r="120" spans="1:8" ht="12.75" customHeight="1" x14ac:dyDescent="0.25">
      <c r="A120" s="118"/>
      <c r="B120" s="207" t="s">
        <v>474</v>
      </c>
      <c r="C120" s="208">
        <v>1.4500000000000001E-2</v>
      </c>
      <c r="D120" s="220"/>
      <c r="E120" s="212"/>
    </row>
    <row r="121" spans="1:8" ht="12.75" customHeight="1" x14ac:dyDescent="0.25">
      <c r="A121" s="118"/>
      <c r="B121" s="224" t="s">
        <v>101</v>
      </c>
      <c r="C121" s="218"/>
      <c r="D121" s="220"/>
      <c r="E121" s="212"/>
      <c r="G121" s="167"/>
    </row>
    <row r="122" spans="1:8" ht="12.75" customHeight="1" thickBot="1" x14ac:dyDescent="0.3">
      <c r="A122" s="228"/>
      <c r="B122" s="229"/>
      <c r="C122" s="800"/>
      <c r="D122" s="231"/>
      <c r="E122" s="798">
        <f>3478567.89-128347.14</f>
        <v>3350220.75</v>
      </c>
      <c r="G122" s="167">
        <f>'Sched-B1'!C10+'Sched-B1'!D10</f>
        <v>3350220.75</v>
      </c>
      <c r="H122" s="223">
        <f>E122-G122</f>
        <v>0</v>
      </c>
    </row>
    <row r="123" spans="1:8" ht="12.75" customHeight="1" x14ac:dyDescent="0.25">
      <c r="A123" s="794" t="s">
        <v>122</v>
      </c>
      <c r="B123" s="203" t="s">
        <v>12</v>
      </c>
      <c r="C123" s="204" t="s">
        <v>245</v>
      </c>
      <c r="D123" s="799">
        <v>0</v>
      </c>
      <c r="E123" s="210" t="s">
        <v>0</v>
      </c>
    </row>
    <row r="124" spans="1:8" ht="12.75" customHeight="1" x14ac:dyDescent="0.25">
      <c r="A124" s="118"/>
      <c r="B124" s="207" t="s">
        <v>701</v>
      </c>
      <c r="C124" s="208">
        <v>6.13E-2</v>
      </c>
      <c r="D124" s="220"/>
      <c r="E124" s="212"/>
    </row>
    <row r="125" spans="1:8" ht="12.75" customHeight="1" x14ac:dyDescent="0.25">
      <c r="A125" s="118"/>
      <c r="B125" s="207" t="s">
        <v>464</v>
      </c>
      <c r="C125" s="208">
        <v>0.22</v>
      </c>
      <c r="D125" s="220"/>
      <c r="E125" s="212"/>
    </row>
    <row r="126" spans="1:8" ht="12.75" customHeight="1" x14ac:dyDescent="0.25">
      <c r="A126" s="118"/>
      <c r="B126" s="207" t="s">
        <v>465</v>
      </c>
      <c r="C126" s="522" t="s">
        <v>97</v>
      </c>
      <c r="D126" s="209"/>
      <c r="E126" s="212" t="s">
        <v>0</v>
      </c>
    </row>
    <row r="127" spans="1:8" ht="12.75" customHeight="1" x14ac:dyDescent="0.25">
      <c r="A127" s="118"/>
      <c r="B127" s="207" t="s">
        <v>466</v>
      </c>
      <c r="C127" s="522" t="s">
        <v>97</v>
      </c>
      <c r="D127" s="209"/>
      <c r="E127" s="212" t="s">
        <v>0</v>
      </c>
    </row>
    <row r="128" spans="1:8" ht="12.75" customHeight="1" x14ac:dyDescent="0.25">
      <c r="A128" s="118"/>
      <c r="B128" s="207" t="s">
        <v>467</v>
      </c>
      <c r="C128" s="522" t="s">
        <v>97</v>
      </c>
      <c r="D128" s="209"/>
      <c r="E128" s="212" t="s">
        <v>0</v>
      </c>
    </row>
    <row r="129" spans="1:8" ht="12.75" customHeight="1" x14ac:dyDescent="0.25">
      <c r="A129" s="118"/>
      <c r="B129" s="207" t="s">
        <v>468</v>
      </c>
      <c r="C129" s="522" t="s">
        <v>97</v>
      </c>
      <c r="D129" s="209"/>
      <c r="E129" s="212" t="s">
        <v>0</v>
      </c>
    </row>
    <row r="130" spans="1:8" ht="12.75" customHeight="1" x14ac:dyDescent="0.25">
      <c r="A130" s="118"/>
      <c r="B130" s="224" t="s">
        <v>8</v>
      </c>
      <c r="C130" s="208">
        <v>3.5999999999999999E-3</v>
      </c>
      <c r="D130" s="220"/>
      <c r="E130" s="212"/>
    </row>
    <row r="131" spans="1:8" ht="12.75" customHeight="1" x14ac:dyDescent="0.25">
      <c r="A131" s="118"/>
      <c r="B131" s="224" t="s">
        <v>9</v>
      </c>
      <c r="C131" s="460">
        <f>C11</f>
        <v>1542.5</v>
      </c>
      <c r="D131" s="220"/>
      <c r="E131" s="212"/>
    </row>
    <row r="132" spans="1:8" ht="12.75" customHeight="1" x14ac:dyDescent="0.25">
      <c r="A132" s="118"/>
      <c r="B132" s="224" t="s">
        <v>7</v>
      </c>
      <c r="C132" s="214" t="s">
        <v>268</v>
      </c>
      <c r="D132" s="220"/>
      <c r="E132" s="212"/>
    </row>
    <row r="133" spans="1:8" ht="12.75" customHeight="1" x14ac:dyDescent="0.25">
      <c r="A133" s="118"/>
      <c r="B133" s="224" t="s">
        <v>10</v>
      </c>
      <c r="C133" s="208">
        <f>C13</f>
        <v>4.5400000000000003E-2</v>
      </c>
      <c r="D133" s="220"/>
      <c r="E133" s="212"/>
    </row>
    <row r="134" spans="1:8" ht="12.75" customHeight="1" x14ac:dyDescent="0.25">
      <c r="A134" s="118"/>
      <c r="B134" s="224" t="s">
        <v>14</v>
      </c>
      <c r="C134" s="208">
        <f>C14</f>
        <v>2.3099999999999999E-2</v>
      </c>
      <c r="D134" s="220"/>
      <c r="E134" s="212"/>
    </row>
    <row r="135" spans="1:8" ht="12.75" customHeight="1" x14ac:dyDescent="0.25">
      <c r="A135" s="118"/>
      <c r="B135" s="224" t="s">
        <v>11</v>
      </c>
      <c r="C135" s="208">
        <f>C15</f>
        <v>1.4999999999999999E-2</v>
      </c>
      <c r="D135" s="220"/>
      <c r="E135" s="212"/>
    </row>
    <row r="136" spans="1:8" ht="12.75" customHeight="1" x14ac:dyDescent="0.25">
      <c r="A136" s="118"/>
      <c r="B136" s="118" t="s">
        <v>205</v>
      </c>
      <c r="C136" s="213" t="s">
        <v>282</v>
      </c>
      <c r="D136" s="220"/>
      <c r="E136" s="212"/>
    </row>
    <row r="137" spans="1:8" ht="12.75" customHeight="1" x14ac:dyDescent="0.25">
      <c r="A137" s="118"/>
      <c r="B137" s="207" t="s">
        <v>474</v>
      </c>
      <c r="C137" s="208">
        <v>1.4500000000000001E-2</v>
      </c>
      <c r="D137" s="220"/>
      <c r="E137" s="212"/>
    </row>
    <row r="138" spans="1:8" ht="12.75" customHeight="1" x14ac:dyDescent="0.25">
      <c r="A138" s="118"/>
      <c r="B138" s="224" t="s">
        <v>101</v>
      </c>
      <c r="C138" s="218"/>
      <c r="D138" s="220"/>
      <c r="E138" s="212"/>
      <c r="G138" s="167"/>
    </row>
    <row r="139" spans="1:8" ht="12.75" customHeight="1" thickBot="1" x14ac:dyDescent="0.3">
      <c r="A139" s="228"/>
      <c r="B139" s="229"/>
      <c r="C139" s="230"/>
      <c r="D139" s="231"/>
      <c r="E139" s="798">
        <f>2229940.74-2494.54</f>
        <v>2227446.2000000002</v>
      </c>
      <c r="G139" s="167">
        <f>'Sched-B1'!C11+'Sched-B1'!D11</f>
        <v>2227446.2000000002</v>
      </c>
      <c r="H139" s="167">
        <f>E139-G139</f>
        <v>0</v>
      </c>
    </row>
    <row r="140" spans="1:8" ht="12.75" customHeight="1" x14ac:dyDescent="0.25">
      <c r="A140" s="794" t="s">
        <v>18</v>
      </c>
      <c r="B140" s="203" t="s">
        <v>12</v>
      </c>
      <c r="C140" s="204" t="s">
        <v>245</v>
      </c>
      <c r="D140" s="799">
        <v>0</v>
      </c>
      <c r="E140" s="210" t="s">
        <v>0</v>
      </c>
    </row>
    <row r="141" spans="1:8" ht="12.75" customHeight="1" x14ac:dyDescent="0.25">
      <c r="A141" s="118"/>
      <c r="B141" s="207" t="s">
        <v>701</v>
      </c>
      <c r="C141" s="208">
        <v>6.13E-2</v>
      </c>
      <c r="D141" s="220"/>
      <c r="E141" s="212"/>
    </row>
    <row r="142" spans="1:8" ht="12.75" customHeight="1" x14ac:dyDescent="0.25">
      <c r="A142" s="118"/>
      <c r="B142" s="207" t="s">
        <v>464</v>
      </c>
      <c r="C142" s="208">
        <v>0.22</v>
      </c>
      <c r="D142" s="220"/>
      <c r="E142" s="212"/>
    </row>
    <row r="143" spans="1:8" ht="12.75" customHeight="1" x14ac:dyDescent="0.25">
      <c r="A143" s="118"/>
      <c r="B143" s="207" t="s">
        <v>465</v>
      </c>
      <c r="C143" s="522" t="s">
        <v>97</v>
      </c>
      <c r="D143" s="209"/>
      <c r="E143" s="212" t="s">
        <v>0</v>
      </c>
    </row>
    <row r="144" spans="1:8" ht="12.75" customHeight="1" x14ac:dyDescent="0.25">
      <c r="A144" s="118"/>
      <c r="B144" s="207" t="s">
        <v>466</v>
      </c>
      <c r="C144" s="522" t="s">
        <v>97</v>
      </c>
      <c r="D144" s="209"/>
      <c r="E144" s="212" t="s">
        <v>0</v>
      </c>
    </row>
    <row r="145" spans="1:8" ht="12.75" customHeight="1" x14ac:dyDescent="0.25">
      <c r="A145" s="118"/>
      <c r="B145" s="207" t="s">
        <v>467</v>
      </c>
      <c r="C145" s="522" t="s">
        <v>97</v>
      </c>
      <c r="D145" s="209"/>
      <c r="E145" s="212" t="s">
        <v>0</v>
      </c>
    </row>
    <row r="146" spans="1:8" ht="12.75" customHeight="1" x14ac:dyDescent="0.25">
      <c r="A146" s="118"/>
      <c r="B146" s="207" t="s">
        <v>468</v>
      </c>
      <c r="C146" s="522" t="s">
        <v>97</v>
      </c>
      <c r="D146" s="209"/>
      <c r="E146" s="212" t="s">
        <v>0</v>
      </c>
    </row>
    <row r="147" spans="1:8" ht="12.75" customHeight="1" x14ac:dyDescent="0.25">
      <c r="A147" s="118"/>
      <c r="B147" s="224" t="s">
        <v>8</v>
      </c>
      <c r="C147" s="208">
        <v>3.5999999999999999E-3</v>
      </c>
      <c r="D147" s="220"/>
      <c r="E147" s="212"/>
    </row>
    <row r="148" spans="1:8" ht="12.75" customHeight="1" x14ac:dyDescent="0.25">
      <c r="A148" s="118"/>
      <c r="B148" s="224" t="s">
        <v>9</v>
      </c>
      <c r="C148" s="460">
        <f>C11</f>
        <v>1542.5</v>
      </c>
      <c r="D148" s="220"/>
      <c r="E148" s="212"/>
    </row>
    <row r="149" spans="1:8" ht="12.75" customHeight="1" x14ac:dyDescent="0.25">
      <c r="A149" s="118"/>
      <c r="B149" s="224" t="s">
        <v>7</v>
      </c>
      <c r="C149" s="214" t="s">
        <v>268</v>
      </c>
      <c r="D149" s="220"/>
      <c r="E149" s="212"/>
    </row>
    <row r="150" spans="1:8" ht="12.75" customHeight="1" x14ac:dyDescent="0.25">
      <c r="A150" s="118"/>
      <c r="B150" s="224" t="s">
        <v>10</v>
      </c>
      <c r="C150" s="208">
        <f>C13</f>
        <v>4.5400000000000003E-2</v>
      </c>
      <c r="D150" s="220"/>
      <c r="E150" s="212"/>
    </row>
    <row r="151" spans="1:8" ht="12.75" customHeight="1" x14ac:dyDescent="0.25">
      <c r="A151" s="118"/>
      <c r="B151" s="224" t="s">
        <v>14</v>
      </c>
      <c r="C151" s="208">
        <f>C14</f>
        <v>2.3099999999999999E-2</v>
      </c>
      <c r="D151" s="220"/>
      <c r="E151" s="212"/>
    </row>
    <row r="152" spans="1:8" ht="12.75" customHeight="1" x14ac:dyDescent="0.25">
      <c r="A152" s="118"/>
      <c r="B152" s="224" t="s">
        <v>11</v>
      </c>
      <c r="C152" s="208">
        <f>C15</f>
        <v>1.4999999999999999E-2</v>
      </c>
      <c r="D152" s="220"/>
      <c r="E152" s="212"/>
    </row>
    <row r="153" spans="1:8" ht="12.75" customHeight="1" x14ac:dyDescent="0.25">
      <c r="A153" s="118"/>
      <c r="B153" s="118" t="s">
        <v>205</v>
      </c>
      <c r="C153" s="213" t="s">
        <v>282</v>
      </c>
      <c r="D153" s="220"/>
      <c r="E153" s="212"/>
    </row>
    <row r="154" spans="1:8" ht="12.75" customHeight="1" x14ac:dyDescent="0.25">
      <c r="A154" s="118"/>
      <c r="B154" s="207" t="s">
        <v>474</v>
      </c>
      <c r="C154" s="208">
        <v>1.4500000000000001E-2</v>
      </c>
      <c r="D154" s="220"/>
      <c r="E154" s="212"/>
    </row>
    <row r="155" spans="1:8" ht="12.75" customHeight="1" x14ac:dyDescent="0.25">
      <c r="A155" s="118"/>
      <c r="B155" s="224" t="s">
        <v>101</v>
      </c>
      <c r="C155" s="218"/>
      <c r="D155" s="220"/>
      <c r="E155" s="212"/>
    </row>
    <row r="156" spans="1:8" ht="12.75" customHeight="1" thickBot="1" x14ac:dyDescent="0.3">
      <c r="A156" s="839"/>
      <c r="B156" s="840"/>
      <c r="C156" s="841"/>
      <c r="D156" s="842"/>
      <c r="E156" s="843">
        <f>33516.12+27.49</f>
        <v>33543.61</v>
      </c>
      <c r="G156" s="167">
        <f>'Sched-B1'!C12+'Sched-B1'!D12</f>
        <v>33543.61</v>
      </c>
      <c r="H156" s="167">
        <f>E156-G156</f>
        <v>0</v>
      </c>
    </row>
    <row r="157" spans="1:8" ht="12.75" customHeight="1" x14ac:dyDescent="0.25">
      <c r="A157" s="794" t="s">
        <v>19</v>
      </c>
      <c r="B157" s="203" t="s">
        <v>12</v>
      </c>
      <c r="C157" s="204" t="s">
        <v>245</v>
      </c>
      <c r="D157" s="799"/>
      <c r="E157" s="210" t="s">
        <v>0</v>
      </c>
    </row>
    <row r="158" spans="1:8" ht="12.75" customHeight="1" x14ac:dyDescent="0.25">
      <c r="A158" s="118"/>
      <c r="B158" s="207" t="s">
        <v>701</v>
      </c>
      <c r="C158" s="208">
        <v>6.13E-2</v>
      </c>
      <c r="D158" s="220"/>
      <c r="E158" s="212"/>
    </row>
    <row r="159" spans="1:8" ht="12.75" customHeight="1" x14ac:dyDescent="0.25">
      <c r="A159" s="118"/>
      <c r="B159" s="207" t="s">
        <v>464</v>
      </c>
      <c r="C159" s="208">
        <v>0.22</v>
      </c>
      <c r="D159" s="220"/>
      <c r="E159" s="212"/>
    </row>
    <row r="160" spans="1:8" ht="12.75" customHeight="1" x14ac:dyDescent="0.25">
      <c r="A160" s="118"/>
      <c r="B160" s="207" t="s">
        <v>465</v>
      </c>
      <c r="C160" s="522" t="s">
        <v>97</v>
      </c>
      <c r="D160" s="209"/>
      <c r="E160" s="212" t="s">
        <v>0</v>
      </c>
    </row>
    <row r="161" spans="1:8" ht="12.75" customHeight="1" x14ac:dyDescent="0.25">
      <c r="A161" s="118"/>
      <c r="B161" s="207" t="s">
        <v>466</v>
      </c>
      <c r="C161" s="522" t="s">
        <v>97</v>
      </c>
      <c r="D161" s="209"/>
      <c r="E161" s="212" t="s">
        <v>0</v>
      </c>
    </row>
    <row r="162" spans="1:8" ht="12.75" customHeight="1" x14ac:dyDescent="0.25">
      <c r="A162" s="118"/>
      <c r="B162" s="207" t="s">
        <v>467</v>
      </c>
      <c r="C162" s="522" t="s">
        <v>97</v>
      </c>
      <c r="D162" s="209"/>
      <c r="E162" s="212" t="s">
        <v>0</v>
      </c>
    </row>
    <row r="163" spans="1:8" ht="12.75" customHeight="1" x14ac:dyDescent="0.25">
      <c r="A163" s="118"/>
      <c r="B163" s="207" t="s">
        <v>468</v>
      </c>
      <c r="C163" s="522" t="s">
        <v>97</v>
      </c>
      <c r="D163" s="209"/>
      <c r="E163" s="212" t="s">
        <v>0</v>
      </c>
    </row>
    <row r="164" spans="1:8" ht="12.75" customHeight="1" x14ac:dyDescent="0.25">
      <c r="A164" s="118"/>
      <c r="B164" s="224" t="s">
        <v>8</v>
      </c>
      <c r="C164" s="208">
        <v>3.5999999999999999E-3</v>
      </c>
      <c r="D164" s="220"/>
      <c r="E164" s="212"/>
    </row>
    <row r="165" spans="1:8" ht="12.75" customHeight="1" x14ac:dyDescent="0.25">
      <c r="A165" s="118"/>
      <c r="B165" s="224" t="s">
        <v>9</v>
      </c>
      <c r="C165" s="460">
        <f>C11</f>
        <v>1542.5</v>
      </c>
      <c r="D165" s="220"/>
      <c r="E165" s="212"/>
    </row>
    <row r="166" spans="1:8" ht="12.75" customHeight="1" x14ac:dyDescent="0.25">
      <c r="A166" s="118"/>
      <c r="B166" s="224" t="s">
        <v>7</v>
      </c>
      <c r="C166" s="214" t="s">
        <v>268</v>
      </c>
      <c r="D166" s="220"/>
      <c r="E166" s="212"/>
    </row>
    <row r="167" spans="1:8" ht="12.75" customHeight="1" x14ac:dyDescent="0.25">
      <c r="A167" s="118"/>
      <c r="B167" s="224" t="s">
        <v>10</v>
      </c>
      <c r="C167" s="208">
        <f>C13</f>
        <v>4.5400000000000003E-2</v>
      </c>
      <c r="D167" s="220"/>
      <c r="E167" s="212"/>
    </row>
    <row r="168" spans="1:8" ht="12.75" customHeight="1" x14ac:dyDescent="0.25">
      <c r="A168" s="118"/>
      <c r="B168" s="224" t="s">
        <v>14</v>
      </c>
      <c r="C168" s="208">
        <f>C14</f>
        <v>2.3099999999999999E-2</v>
      </c>
      <c r="D168" s="220"/>
      <c r="E168" s="212"/>
    </row>
    <row r="169" spans="1:8" ht="12.75" customHeight="1" x14ac:dyDescent="0.25">
      <c r="A169" s="118"/>
      <c r="B169" s="224" t="s">
        <v>11</v>
      </c>
      <c r="C169" s="208">
        <f>C15</f>
        <v>1.4999999999999999E-2</v>
      </c>
      <c r="D169" s="220"/>
      <c r="E169" s="212"/>
    </row>
    <row r="170" spans="1:8" ht="12.75" customHeight="1" x14ac:dyDescent="0.25">
      <c r="A170" s="118"/>
      <c r="B170" s="118" t="s">
        <v>205</v>
      </c>
      <c r="C170" s="213" t="s">
        <v>282</v>
      </c>
      <c r="D170" s="220"/>
      <c r="E170" s="212"/>
    </row>
    <row r="171" spans="1:8" ht="12.75" customHeight="1" x14ac:dyDescent="0.25">
      <c r="A171" s="118"/>
      <c r="B171" s="207" t="s">
        <v>474</v>
      </c>
      <c r="C171" s="208">
        <v>1.4500000000000001E-2</v>
      </c>
      <c r="D171" s="220"/>
      <c r="E171" s="212"/>
    </row>
    <row r="172" spans="1:8" ht="12.75" customHeight="1" x14ac:dyDescent="0.25">
      <c r="A172" s="118"/>
      <c r="B172" s="224" t="s">
        <v>101</v>
      </c>
      <c r="C172" s="218"/>
      <c r="D172" s="220"/>
      <c r="E172" s="212"/>
      <c r="G172" s="167"/>
    </row>
    <row r="173" spans="1:8" ht="12.75" customHeight="1" thickBot="1" x14ac:dyDescent="0.3">
      <c r="A173" s="228"/>
      <c r="B173" s="229"/>
      <c r="C173" s="230"/>
      <c r="D173" s="231"/>
      <c r="E173" s="798">
        <f>7428459.02-6404.81</f>
        <v>7422054.21</v>
      </c>
      <c r="G173" s="167">
        <f>'Sched-B1'!C13+'Sched-B1'!D13</f>
        <v>7422054.21</v>
      </c>
      <c r="H173" s="167">
        <f>E173-G173</f>
        <v>0</v>
      </c>
    </row>
    <row r="174" spans="1:8" ht="12.75" customHeight="1" x14ac:dyDescent="0.25">
      <c r="A174" s="794" t="s">
        <v>25</v>
      </c>
      <c r="B174" s="203" t="s">
        <v>12</v>
      </c>
      <c r="C174" s="204" t="s">
        <v>245</v>
      </c>
      <c r="D174" s="799"/>
      <c r="E174" s="210" t="s">
        <v>0</v>
      </c>
    </row>
    <row r="175" spans="1:8" ht="12.75" customHeight="1" x14ac:dyDescent="0.25">
      <c r="A175" s="118"/>
      <c r="B175" s="207" t="s">
        <v>701</v>
      </c>
      <c r="C175" s="208">
        <v>6.13E-2</v>
      </c>
      <c r="D175" s="220"/>
      <c r="E175" s="212"/>
    </row>
    <row r="176" spans="1:8" ht="12.75" customHeight="1" x14ac:dyDescent="0.25">
      <c r="A176" s="118"/>
      <c r="B176" s="207" t="s">
        <v>464</v>
      </c>
      <c r="C176" s="208">
        <v>0.22</v>
      </c>
      <c r="D176" s="220"/>
      <c r="E176" s="212"/>
    </row>
    <row r="177" spans="1:8" ht="12.75" customHeight="1" x14ac:dyDescent="0.25">
      <c r="A177" s="118"/>
      <c r="B177" s="207" t="s">
        <v>465</v>
      </c>
      <c r="C177" s="522" t="s">
        <v>97</v>
      </c>
      <c r="D177" s="209"/>
      <c r="E177" s="212" t="s">
        <v>0</v>
      </c>
    </row>
    <row r="178" spans="1:8" ht="12.75" customHeight="1" x14ac:dyDescent="0.25">
      <c r="A178" s="118"/>
      <c r="B178" s="207" t="s">
        <v>466</v>
      </c>
      <c r="C178" s="522" t="s">
        <v>97</v>
      </c>
      <c r="D178" s="209"/>
      <c r="E178" s="212" t="s">
        <v>0</v>
      </c>
    </row>
    <row r="179" spans="1:8" ht="12.75" customHeight="1" x14ac:dyDescent="0.25">
      <c r="A179" s="118"/>
      <c r="B179" s="207" t="s">
        <v>467</v>
      </c>
      <c r="C179" s="522" t="s">
        <v>97</v>
      </c>
      <c r="D179" s="209"/>
      <c r="E179" s="212" t="s">
        <v>0</v>
      </c>
    </row>
    <row r="180" spans="1:8" ht="12.75" customHeight="1" x14ac:dyDescent="0.25">
      <c r="A180" s="118"/>
      <c r="B180" s="207" t="s">
        <v>468</v>
      </c>
      <c r="C180" s="522" t="s">
        <v>97</v>
      </c>
      <c r="D180" s="209"/>
      <c r="E180" s="212" t="s">
        <v>0</v>
      </c>
    </row>
    <row r="181" spans="1:8" ht="12.75" customHeight="1" x14ac:dyDescent="0.25">
      <c r="A181" s="118"/>
      <c r="B181" s="224" t="s">
        <v>8</v>
      </c>
      <c r="C181" s="208">
        <v>3.5999999999999999E-3</v>
      </c>
      <c r="D181" s="220"/>
      <c r="E181" s="212"/>
    </row>
    <row r="182" spans="1:8" ht="12.75" customHeight="1" x14ac:dyDescent="0.25">
      <c r="A182" s="118"/>
      <c r="B182" s="224" t="s">
        <v>9</v>
      </c>
      <c r="C182" s="460">
        <f>C11</f>
        <v>1542.5</v>
      </c>
      <c r="D182" s="220"/>
      <c r="E182" s="212"/>
    </row>
    <row r="183" spans="1:8" ht="12.75" customHeight="1" x14ac:dyDescent="0.25">
      <c r="A183" s="118"/>
      <c r="B183" s="224" t="s">
        <v>7</v>
      </c>
      <c r="C183" s="214" t="s">
        <v>268</v>
      </c>
      <c r="D183" s="220"/>
      <c r="E183" s="212"/>
    </row>
    <row r="184" spans="1:8" ht="12.75" customHeight="1" x14ac:dyDescent="0.25">
      <c r="A184" s="118"/>
      <c r="B184" s="224" t="s">
        <v>10</v>
      </c>
      <c r="C184" s="208">
        <f>C13</f>
        <v>4.5400000000000003E-2</v>
      </c>
      <c r="D184" s="220"/>
      <c r="E184" s="212"/>
    </row>
    <row r="185" spans="1:8" ht="12.75" customHeight="1" x14ac:dyDescent="0.25">
      <c r="A185" s="118"/>
      <c r="B185" s="224" t="s">
        <v>14</v>
      </c>
      <c r="C185" s="208">
        <f>C14</f>
        <v>2.3099999999999999E-2</v>
      </c>
      <c r="D185" s="220"/>
      <c r="E185" s="212"/>
    </row>
    <row r="186" spans="1:8" ht="12.75" customHeight="1" x14ac:dyDescent="0.25">
      <c r="A186" s="118"/>
      <c r="B186" s="224" t="s">
        <v>11</v>
      </c>
      <c r="C186" s="208">
        <f>C15</f>
        <v>1.4999999999999999E-2</v>
      </c>
      <c r="D186" s="220"/>
      <c r="E186" s="212"/>
    </row>
    <row r="187" spans="1:8" ht="12.75" customHeight="1" x14ac:dyDescent="0.25">
      <c r="A187" s="118"/>
      <c r="B187" s="118" t="s">
        <v>205</v>
      </c>
      <c r="C187" s="213" t="s">
        <v>282</v>
      </c>
      <c r="D187" s="220"/>
      <c r="E187" s="212"/>
    </row>
    <row r="188" spans="1:8" ht="12.75" customHeight="1" x14ac:dyDescent="0.25">
      <c r="A188" s="118"/>
      <c r="B188" s="207" t="s">
        <v>474</v>
      </c>
      <c r="C188" s="208">
        <v>1.4500000000000001E-2</v>
      </c>
      <c r="D188" s="220"/>
      <c r="E188" s="212"/>
    </row>
    <row r="189" spans="1:8" ht="12.75" customHeight="1" x14ac:dyDescent="0.25">
      <c r="A189" s="118"/>
      <c r="B189" s="224" t="s">
        <v>101</v>
      </c>
      <c r="C189" s="218"/>
      <c r="D189" s="220"/>
      <c r="E189" s="212"/>
      <c r="G189" s="167"/>
    </row>
    <row r="190" spans="1:8" ht="12.75" customHeight="1" thickBot="1" x14ac:dyDescent="0.3">
      <c r="A190" s="228"/>
      <c r="B190" s="229"/>
      <c r="C190" s="230"/>
      <c r="D190" s="231"/>
      <c r="E190" s="798">
        <f>4977592.42-62633.09</f>
        <v>4914959.33</v>
      </c>
      <c r="G190" s="167">
        <f>'Sched-B1'!C14+'Sched-B1'!D14</f>
        <v>4914959.33</v>
      </c>
      <c r="H190" s="167">
        <f>E190-G190</f>
        <v>0</v>
      </c>
    </row>
    <row r="191" spans="1:8" ht="12.75" customHeight="1" x14ac:dyDescent="0.25">
      <c r="A191" s="794" t="s">
        <v>20</v>
      </c>
      <c r="B191" s="203" t="s">
        <v>12</v>
      </c>
      <c r="C191" s="204" t="s">
        <v>245</v>
      </c>
      <c r="D191" s="799">
        <v>0</v>
      </c>
      <c r="E191" s="210" t="s">
        <v>0</v>
      </c>
    </row>
    <row r="192" spans="1:8" ht="12.75" customHeight="1" x14ac:dyDescent="0.25">
      <c r="A192" s="118"/>
      <c r="B192" s="207" t="s">
        <v>701</v>
      </c>
      <c r="C192" s="208">
        <v>6.13E-2</v>
      </c>
      <c r="D192" s="220"/>
      <c r="E192" s="212"/>
    </row>
    <row r="193" spans="1:8" ht="12.75" customHeight="1" x14ac:dyDescent="0.25">
      <c r="A193" s="118"/>
      <c r="B193" s="207" t="s">
        <v>464</v>
      </c>
      <c r="C193" s="208">
        <v>0.22</v>
      </c>
      <c r="D193" s="220"/>
      <c r="E193" s="212"/>
    </row>
    <row r="194" spans="1:8" ht="12.75" customHeight="1" x14ac:dyDescent="0.25">
      <c r="A194" s="118"/>
      <c r="B194" s="207" t="s">
        <v>465</v>
      </c>
      <c r="C194" s="522" t="s">
        <v>97</v>
      </c>
      <c r="D194" s="209"/>
      <c r="E194" s="212" t="s">
        <v>0</v>
      </c>
    </row>
    <row r="195" spans="1:8" ht="12.75" customHeight="1" x14ac:dyDescent="0.25">
      <c r="A195" s="118"/>
      <c r="B195" s="207" t="s">
        <v>466</v>
      </c>
      <c r="C195" s="522" t="s">
        <v>97</v>
      </c>
      <c r="D195" s="209"/>
      <c r="E195" s="212" t="s">
        <v>0</v>
      </c>
    </row>
    <row r="196" spans="1:8" ht="12.75" customHeight="1" x14ac:dyDescent="0.25">
      <c r="A196" s="118"/>
      <c r="B196" s="207" t="s">
        <v>467</v>
      </c>
      <c r="C196" s="522" t="s">
        <v>97</v>
      </c>
      <c r="D196" s="209"/>
      <c r="E196" s="212" t="s">
        <v>0</v>
      </c>
    </row>
    <row r="197" spans="1:8" ht="12.75" customHeight="1" x14ac:dyDescent="0.25">
      <c r="A197" s="118"/>
      <c r="B197" s="207" t="s">
        <v>468</v>
      </c>
      <c r="C197" s="522" t="s">
        <v>97</v>
      </c>
      <c r="D197" s="209"/>
      <c r="E197" s="212" t="s">
        <v>0</v>
      </c>
    </row>
    <row r="198" spans="1:8" ht="12.75" customHeight="1" x14ac:dyDescent="0.25">
      <c r="A198" s="118"/>
      <c r="B198" s="224" t="s">
        <v>8</v>
      </c>
      <c r="C198" s="208">
        <v>3.5999999999999999E-3</v>
      </c>
      <c r="D198" s="220"/>
      <c r="E198" s="212"/>
    </row>
    <row r="199" spans="1:8" ht="12.75" customHeight="1" x14ac:dyDescent="0.25">
      <c r="A199" s="118"/>
      <c r="B199" s="224" t="s">
        <v>9</v>
      </c>
      <c r="C199" s="460">
        <f>C11</f>
        <v>1542.5</v>
      </c>
      <c r="D199" s="220"/>
      <c r="E199" s="212"/>
    </row>
    <row r="200" spans="1:8" ht="12.75" customHeight="1" x14ac:dyDescent="0.25">
      <c r="A200" s="118"/>
      <c r="B200" s="224" t="s">
        <v>7</v>
      </c>
      <c r="C200" s="214" t="s">
        <v>268</v>
      </c>
      <c r="D200" s="220"/>
      <c r="E200" s="212"/>
    </row>
    <row r="201" spans="1:8" ht="12.75" customHeight="1" x14ac:dyDescent="0.25">
      <c r="A201" s="118"/>
      <c r="B201" s="224" t="s">
        <v>10</v>
      </c>
      <c r="C201" s="208">
        <f>C13</f>
        <v>4.5400000000000003E-2</v>
      </c>
      <c r="D201" s="220"/>
      <c r="E201" s="212"/>
    </row>
    <row r="202" spans="1:8" ht="12.75" customHeight="1" x14ac:dyDescent="0.25">
      <c r="A202" s="118"/>
      <c r="B202" s="224" t="s">
        <v>14</v>
      </c>
      <c r="C202" s="208">
        <f>C14</f>
        <v>2.3099999999999999E-2</v>
      </c>
      <c r="D202" s="220"/>
      <c r="E202" s="212"/>
    </row>
    <row r="203" spans="1:8" ht="12.75" customHeight="1" x14ac:dyDescent="0.25">
      <c r="A203" s="118"/>
      <c r="B203" s="224" t="s">
        <v>11</v>
      </c>
      <c r="C203" s="208">
        <f>C15</f>
        <v>1.4999999999999999E-2</v>
      </c>
      <c r="D203" s="220"/>
      <c r="E203" s="212"/>
    </row>
    <row r="204" spans="1:8" ht="12.75" customHeight="1" x14ac:dyDescent="0.25">
      <c r="A204" s="118"/>
      <c r="B204" s="118" t="s">
        <v>205</v>
      </c>
      <c r="C204" s="213" t="s">
        <v>282</v>
      </c>
      <c r="D204" s="220"/>
      <c r="E204" s="212"/>
    </row>
    <row r="205" spans="1:8" ht="12.75" customHeight="1" x14ac:dyDescent="0.25">
      <c r="A205" s="118"/>
      <c r="B205" s="207" t="s">
        <v>474</v>
      </c>
      <c r="C205" s="208">
        <v>1.4500000000000001E-2</v>
      </c>
      <c r="D205" s="220"/>
      <c r="E205" s="212"/>
    </row>
    <row r="206" spans="1:8" ht="12.75" customHeight="1" x14ac:dyDescent="0.25">
      <c r="A206" s="139"/>
      <c r="B206" s="225" t="s">
        <v>101</v>
      </c>
      <c r="C206" s="218"/>
      <c r="D206" s="226"/>
      <c r="E206" s="227"/>
      <c r="G206" s="167"/>
    </row>
    <row r="207" spans="1:8" ht="12.75" customHeight="1" thickBot="1" x14ac:dyDescent="0.3">
      <c r="A207" s="228"/>
      <c r="B207" s="229"/>
      <c r="C207" s="230"/>
      <c r="D207" s="231"/>
      <c r="E207" s="798">
        <f>2848807.98-35778.27</f>
        <v>2813029.71</v>
      </c>
      <c r="G207" s="167">
        <f>'Sched-B1'!C15+'Sched-B1'!D15</f>
        <v>2813029.71</v>
      </c>
      <c r="H207" s="167">
        <f>E207-G207</f>
        <v>0</v>
      </c>
    </row>
    <row r="208" spans="1:8" ht="12.75" customHeight="1" x14ac:dyDescent="0.25">
      <c r="A208" s="794" t="s">
        <v>244</v>
      </c>
      <c r="B208" s="802" t="s">
        <v>12</v>
      </c>
      <c r="C208" s="204" t="s">
        <v>245</v>
      </c>
      <c r="D208" s="799">
        <v>0</v>
      </c>
      <c r="E208" s="210" t="s">
        <v>0</v>
      </c>
    </row>
    <row r="209" spans="1:8" ht="12.75" customHeight="1" x14ac:dyDescent="0.25">
      <c r="A209" s="138"/>
      <c r="B209" s="207" t="s">
        <v>701</v>
      </c>
      <c r="C209" s="208">
        <v>6.13E-2</v>
      </c>
      <c r="D209" s="220">
        <v>0</v>
      </c>
      <c r="E209" s="212"/>
    </row>
    <row r="210" spans="1:8" ht="12.75" customHeight="1" x14ac:dyDescent="0.25">
      <c r="A210" s="118"/>
      <c r="B210" s="207" t="s">
        <v>464</v>
      </c>
      <c r="C210" s="208">
        <v>0.22</v>
      </c>
      <c r="D210" s="220">
        <v>0</v>
      </c>
      <c r="E210" s="212"/>
    </row>
    <row r="211" spans="1:8" ht="12.75" customHeight="1" x14ac:dyDescent="0.25">
      <c r="A211" s="118"/>
      <c r="B211" s="207" t="s">
        <v>465</v>
      </c>
      <c r="C211" s="522" t="s">
        <v>97</v>
      </c>
      <c r="D211" s="209">
        <v>0</v>
      </c>
      <c r="E211" s="212" t="s">
        <v>0</v>
      </c>
    </row>
    <row r="212" spans="1:8" ht="12.75" customHeight="1" x14ac:dyDescent="0.25">
      <c r="A212" s="118"/>
      <c r="B212" s="207" t="s">
        <v>466</v>
      </c>
      <c r="C212" s="522" t="s">
        <v>97</v>
      </c>
      <c r="D212" s="209">
        <v>0</v>
      </c>
      <c r="E212" s="212" t="s">
        <v>0</v>
      </c>
    </row>
    <row r="213" spans="1:8" ht="12.75" customHeight="1" x14ac:dyDescent="0.25">
      <c r="A213" s="118"/>
      <c r="B213" s="207" t="s">
        <v>467</v>
      </c>
      <c r="C213" s="522" t="s">
        <v>97</v>
      </c>
      <c r="D213" s="209">
        <v>0</v>
      </c>
      <c r="E213" s="212" t="s">
        <v>0</v>
      </c>
    </row>
    <row r="214" spans="1:8" ht="12.75" customHeight="1" x14ac:dyDescent="0.25">
      <c r="A214" s="118"/>
      <c r="B214" s="207" t="s">
        <v>468</v>
      </c>
      <c r="C214" s="522" t="s">
        <v>97</v>
      </c>
      <c r="D214" s="209">
        <v>0</v>
      </c>
      <c r="E214" s="212" t="s">
        <v>0</v>
      </c>
    </row>
    <row r="215" spans="1:8" ht="12.75" customHeight="1" x14ac:dyDescent="0.25">
      <c r="A215" s="118"/>
      <c r="B215" s="207" t="s">
        <v>8</v>
      </c>
      <c r="C215" s="208">
        <v>3.5999999999999999E-3</v>
      </c>
      <c r="D215" s="220">
        <v>0</v>
      </c>
      <c r="E215" s="212"/>
    </row>
    <row r="216" spans="1:8" ht="12.75" customHeight="1" x14ac:dyDescent="0.25">
      <c r="A216" s="118"/>
      <c r="B216" s="207" t="s">
        <v>9</v>
      </c>
      <c r="C216" s="460">
        <f>C11</f>
        <v>1542.5</v>
      </c>
      <c r="D216" s="220">
        <v>0</v>
      </c>
      <c r="E216" s="212"/>
    </row>
    <row r="217" spans="1:8" ht="12.75" customHeight="1" x14ac:dyDescent="0.25">
      <c r="A217" s="118"/>
      <c r="B217" s="207" t="s">
        <v>7</v>
      </c>
      <c r="C217" s="214" t="s">
        <v>268</v>
      </c>
      <c r="D217" s="220">
        <v>0</v>
      </c>
      <c r="E217" s="212"/>
    </row>
    <row r="218" spans="1:8" ht="12.75" customHeight="1" x14ac:dyDescent="0.25">
      <c r="A218" s="118"/>
      <c r="B218" s="207" t="s">
        <v>10</v>
      </c>
      <c r="C218" s="208">
        <f>C13</f>
        <v>4.5400000000000003E-2</v>
      </c>
      <c r="D218" s="220">
        <v>0</v>
      </c>
      <c r="E218" s="212"/>
    </row>
    <row r="219" spans="1:8" ht="12.75" customHeight="1" x14ac:dyDescent="0.25">
      <c r="A219" s="118"/>
      <c r="B219" s="207" t="s">
        <v>14</v>
      </c>
      <c r="C219" s="208">
        <f>C14</f>
        <v>2.3099999999999999E-2</v>
      </c>
      <c r="D219" s="220">
        <v>0</v>
      </c>
      <c r="E219" s="212"/>
    </row>
    <row r="220" spans="1:8" ht="12.75" customHeight="1" x14ac:dyDescent="0.25">
      <c r="A220" s="118"/>
      <c r="B220" s="207" t="s">
        <v>11</v>
      </c>
      <c r="C220" s="208">
        <f>C15</f>
        <v>1.4999999999999999E-2</v>
      </c>
      <c r="D220" s="220">
        <v>0</v>
      </c>
      <c r="E220" s="212"/>
    </row>
    <row r="221" spans="1:8" ht="12.75" customHeight="1" x14ac:dyDescent="0.25">
      <c r="A221" s="118"/>
      <c r="B221" s="215" t="s">
        <v>205</v>
      </c>
      <c r="C221" s="213" t="s">
        <v>282</v>
      </c>
      <c r="D221" s="220">
        <v>0</v>
      </c>
      <c r="E221" s="212"/>
    </row>
    <row r="222" spans="1:8" ht="12.75" customHeight="1" x14ac:dyDescent="0.25">
      <c r="A222" s="118"/>
      <c r="B222" s="207" t="s">
        <v>474</v>
      </c>
      <c r="C222" s="208">
        <v>1.4500000000000001E-2</v>
      </c>
      <c r="D222" s="220">
        <v>0</v>
      </c>
      <c r="E222" s="212"/>
    </row>
    <row r="223" spans="1:8" ht="12.75" customHeight="1" x14ac:dyDescent="0.25">
      <c r="A223" s="118"/>
      <c r="B223" s="207" t="s">
        <v>101</v>
      </c>
      <c r="C223" s="218"/>
      <c r="D223" s="220">
        <v>0</v>
      </c>
      <c r="E223" s="212"/>
      <c r="G223" s="167"/>
    </row>
    <row r="224" spans="1:8" ht="12.75" customHeight="1" thickBot="1" x14ac:dyDescent="0.3">
      <c r="A224" s="232"/>
      <c r="B224" s="233"/>
      <c r="C224" s="234"/>
      <c r="D224" s="235"/>
      <c r="E224" s="737">
        <f>1260242.53-18831</f>
        <v>1241411.53</v>
      </c>
      <c r="G224" s="167">
        <f>'Sched-B1'!C16+'Sched-B1'!D16</f>
        <v>1241411.53</v>
      </c>
      <c r="H224" s="223">
        <f>E224-G224</f>
        <v>0</v>
      </c>
    </row>
    <row r="225" spans="1:8" ht="19.5" customHeight="1" thickBot="1" x14ac:dyDescent="0.3">
      <c r="A225" s="865" t="s">
        <v>21</v>
      </c>
      <c r="B225" s="866"/>
      <c r="C225" s="866"/>
      <c r="D225" s="255"/>
      <c r="E225" s="793">
        <f>SUM(E224,E207,E190,E173,E156,E139,E122,E105,E88,E54,E37,E20+E71)</f>
        <v>58617662.409999996</v>
      </c>
      <c r="G225" s="167">
        <f>SUM(G3:G224)</f>
        <v>58617662.410000004</v>
      </c>
    </row>
    <row r="226" spans="1:8" ht="15.75" thickTop="1" x14ac:dyDescent="0.25">
      <c r="A226" s="140"/>
      <c r="B226" s="236"/>
      <c r="C226" s="237"/>
      <c r="D226" s="141"/>
      <c r="E226" s="238"/>
      <c r="G226" s="167">
        <f>'Sched-B1'!C17+'Sched-B1'!D17</f>
        <v>58617662.410000004</v>
      </c>
    </row>
    <row r="227" spans="1:8" x14ac:dyDescent="0.25">
      <c r="A227" s="461" t="s">
        <v>806</v>
      </c>
      <c r="B227" s="236"/>
      <c r="C227" s="237"/>
      <c r="D227" s="141"/>
      <c r="E227" s="238"/>
      <c r="G227" s="167">
        <f>G225-G226</f>
        <v>0</v>
      </c>
      <c r="H227" s="159" t="s">
        <v>376</v>
      </c>
    </row>
    <row r="228" spans="1:8" x14ac:dyDescent="0.25">
      <c r="B228" s="236"/>
      <c r="C228" s="237"/>
      <c r="D228" s="141"/>
      <c r="E228" s="238"/>
    </row>
    <row r="229" spans="1:8" x14ac:dyDescent="0.25">
      <c r="A229" s="142"/>
      <c r="B229" s="236"/>
      <c r="C229" s="237"/>
      <c r="D229" s="141"/>
      <c r="E229" s="238"/>
    </row>
    <row r="230" spans="1:8" x14ac:dyDescent="0.25">
      <c r="B230" s="236"/>
      <c r="C230" s="237"/>
      <c r="D230" s="141"/>
      <c r="E230" s="238"/>
    </row>
    <row r="231" spans="1:8" x14ac:dyDescent="0.25">
      <c r="B231" s="236"/>
      <c r="C231" s="237"/>
      <c r="D231" s="141"/>
      <c r="E231" s="238"/>
    </row>
    <row r="232" spans="1:8" x14ac:dyDescent="0.25">
      <c r="B232" s="236"/>
      <c r="C232" s="237"/>
      <c r="D232" s="141"/>
      <c r="E232" s="238"/>
    </row>
    <row r="233" spans="1:8" x14ac:dyDescent="0.25">
      <c r="B233" s="236"/>
      <c r="C233" s="237"/>
      <c r="D233" s="141"/>
      <c r="E233" s="238"/>
    </row>
    <row r="234" spans="1:8" x14ac:dyDescent="0.25">
      <c r="B234" s="236"/>
      <c r="C234" s="237"/>
      <c r="D234" s="141"/>
      <c r="E234" s="238"/>
    </row>
    <row r="235" spans="1:8" x14ac:dyDescent="0.25">
      <c r="B235" s="236"/>
      <c r="C235" s="237"/>
      <c r="D235" s="141"/>
      <c r="E235" s="238"/>
    </row>
    <row r="236" spans="1:8" x14ac:dyDescent="0.25">
      <c r="D236" s="239"/>
      <c r="E236" s="239"/>
    </row>
    <row r="237" spans="1:8" x14ac:dyDescent="0.25">
      <c r="A237" s="240"/>
      <c r="D237" s="239"/>
      <c r="E237" s="239"/>
    </row>
    <row r="238" spans="1:8" x14ac:dyDescent="0.25">
      <c r="D238" s="239"/>
      <c r="E238" s="239"/>
    </row>
    <row r="239" spans="1:8" x14ac:dyDescent="0.25">
      <c r="D239" s="239"/>
      <c r="E239" s="239"/>
    </row>
    <row r="240" spans="1:8" x14ac:dyDescent="0.25">
      <c r="D240" s="239"/>
      <c r="E240" s="239"/>
    </row>
    <row r="241" spans="4:5" x14ac:dyDescent="0.25">
      <c r="D241" s="239"/>
      <c r="E241" s="239"/>
    </row>
    <row r="242" spans="4:5" x14ac:dyDescent="0.25">
      <c r="D242" s="239"/>
      <c r="E242" s="239"/>
    </row>
    <row r="243" spans="4:5" x14ac:dyDescent="0.25">
      <c r="D243" s="239"/>
      <c r="E243" s="239"/>
    </row>
    <row r="244" spans="4:5" x14ac:dyDescent="0.25">
      <c r="D244" s="239"/>
      <c r="E244" s="239"/>
    </row>
    <row r="245" spans="4:5" x14ac:dyDescent="0.25">
      <c r="D245" s="239"/>
      <c r="E245" s="239"/>
    </row>
    <row r="246" spans="4:5" x14ac:dyDescent="0.25">
      <c r="D246" s="239"/>
      <c r="E246" s="239"/>
    </row>
    <row r="247" spans="4:5" x14ac:dyDescent="0.25">
      <c r="D247" s="239"/>
      <c r="E247" s="239"/>
    </row>
    <row r="248" spans="4:5" x14ac:dyDescent="0.25">
      <c r="D248" s="239"/>
      <c r="E248" s="239"/>
    </row>
    <row r="249" spans="4:5" x14ac:dyDescent="0.25">
      <c r="D249" s="239"/>
      <c r="E249" s="239"/>
    </row>
    <row r="250" spans="4:5" x14ac:dyDescent="0.25">
      <c r="D250" s="239"/>
      <c r="E250" s="239"/>
    </row>
    <row r="251" spans="4:5" x14ac:dyDescent="0.25">
      <c r="D251" s="239"/>
      <c r="E251" s="239"/>
    </row>
    <row r="252" spans="4:5" x14ac:dyDescent="0.25">
      <c r="D252" s="239"/>
      <c r="E252" s="239"/>
    </row>
    <row r="253" spans="4:5" x14ac:dyDescent="0.25">
      <c r="D253" s="239"/>
      <c r="E253" s="239"/>
    </row>
    <row r="254" spans="4:5" x14ac:dyDescent="0.25">
      <c r="D254" s="239"/>
      <c r="E254" s="239"/>
    </row>
    <row r="255" spans="4:5" x14ac:dyDescent="0.25">
      <c r="D255" s="239"/>
      <c r="E255" s="239"/>
    </row>
    <row r="256" spans="4:5" x14ac:dyDescent="0.25">
      <c r="D256" s="239"/>
      <c r="E256" s="239"/>
    </row>
    <row r="257" spans="4:5" x14ac:dyDescent="0.25">
      <c r="D257" s="239"/>
      <c r="E257" s="239"/>
    </row>
    <row r="258" spans="4:5" x14ac:dyDescent="0.25">
      <c r="D258" s="239"/>
      <c r="E258" s="239"/>
    </row>
    <row r="259" spans="4:5" x14ac:dyDescent="0.25">
      <c r="D259" s="239"/>
      <c r="E259" s="239"/>
    </row>
    <row r="260" spans="4:5" x14ac:dyDescent="0.25">
      <c r="D260" s="239"/>
      <c r="E260" s="239"/>
    </row>
    <row r="261" spans="4:5" x14ac:dyDescent="0.25">
      <c r="D261" s="239"/>
      <c r="E261" s="239"/>
    </row>
    <row r="262" spans="4:5" x14ac:dyDescent="0.25">
      <c r="D262" s="239"/>
      <c r="E262" s="239"/>
    </row>
    <row r="263" spans="4:5" x14ac:dyDescent="0.25">
      <c r="D263" s="239"/>
      <c r="E263" s="239"/>
    </row>
    <row r="264" spans="4:5" x14ac:dyDescent="0.25">
      <c r="D264" s="239"/>
      <c r="E264" s="239"/>
    </row>
    <row r="265" spans="4:5" x14ac:dyDescent="0.25">
      <c r="D265" s="239"/>
      <c r="E265" s="239"/>
    </row>
    <row r="266" spans="4:5" x14ac:dyDescent="0.25">
      <c r="D266" s="239"/>
      <c r="E266" s="239"/>
    </row>
    <row r="267" spans="4:5" x14ac:dyDescent="0.25">
      <c r="D267" s="239"/>
      <c r="E267" s="239"/>
    </row>
    <row r="268" spans="4:5" x14ac:dyDescent="0.25">
      <c r="D268" s="239"/>
      <c r="E268" s="239"/>
    </row>
    <row r="269" spans="4:5" x14ac:dyDescent="0.25">
      <c r="D269" s="239"/>
      <c r="E269" s="239"/>
    </row>
    <row r="270" spans="4:5" x14ac:dyDescent="0.25">
      <c r="D270" s="239"/>
      <c r="E270" s="239"/>
    </row>
    <row r="271" spans="4:5" x14ac:dyDescent="0.25">
      <c r="D271" s="239"/>
      <c r="E271" s="239"/>
    </row>
    <row r="272" spans="4:5" x14ac:dyDescent="0.25">
      <c r="D272" s="239"/>
      <c r="E272" s="239"/>
    </row>
    <row r="273" spans="4:5" x14ac:dyDescent="0.25">
      <c r="D273" s="239"/>
      <c r="E273" s="239"/>
    </row>
    <row r="274" spans="4:5" x14ac:dyDescent="0.25">
      <c r="D274" s="239"/>
      <c r="E274" s="239"/>
    </row>
  </sheetData>
  <mergeCells count="2">
    <mergeCell ref="A1:E1"/>
    <mergeCell ref="A225:C225"/>
  </mergeCells>
  <phoneticPr fontId="21" type="noConversion"/>
  <printOptions horizontalCentered="1"/>
  <pageMargins left="0.25" right="0.25" top="1.25" bottom="0.5" header="0.3" footer="0.3"/>
  <pageSetup orientation="portrait" r:id="rId1"/>
  <headerFooter alignWithMargins="0">
    <oddHeader>&amp;C&amp;"Arial,Bold"&amp;12DEPARTMENT OF CORRECTIONS
 COST OF CARE Year 2021
(Based on Fiscal Year 2020 Actuals)</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59999389629810485"/>
  </sheetPr>
  <dimension ref="A1:G27"/>
  <sheetViews>
    <sheetView showGridLines="0" workbookViewId="0">
      <pane xSplit="1" ySplit="2" topLeftCell="B3" activePane="bottomRight" state="frozen"/>
      <selection activeCell="B35" sqref="B35"/>
      <selection pane="topRight" activeCell="B35" sqref="B35"/>
      <selection pane="bottomLeft" activeCell="B35" sqref="B35"/>
      <selection pane="bottomRight" activeCell="A2" sqref="A2"/>
    </sheetView>
  </sheetViews>
  <sheetFormatPr defaultColWidth="9.140625" defaultRowHeight="12.75" x14ac:dyDescent="0.2"/>
  <cols>
    <col min="1" max="1" width="27" style="113" customWidth="1"/>
    <col min="2" max="2" width="31.42578125" style="113" bestFit="1" customWidth="1"/>
    <col min="3" max="3" width="13" style="113" customWidth="1"/>
    <col min="4" max="4" width="18.85546875" style="113" bestFit="1" customWidth="1"/>
    <col min="5" max="5" width="10.7109375" style="192" customWidth="1"/>
    <col min="6" max="6" width="14.5703125" style="113" customWidth="1"/>
    <col min="7" max="7" width="13.5703125" style="113" customWidth="1"/>
    <col min="8" max="16384" width="9.140625" style="113"/>
  </cols>
  <sheetData>
    <row r="1" spans="1:7" ht="31.5" customHeight="1" thickBot="1" x14ac:dyDescent="0.25">
      <c r="A1" s="853" t="s">
        <v>103</v>
      </c>
      <c r="B1" s="853"/>
      <c r="C1" s="853"/>
      <c r="D1" s="853"/>
    </row>
    <row r="2" spans="1:7" ht="33" thickTop="1" thickBot="1" x14ac:dyDescent="0.3">
      <c r="A2" s="260" t="s">
        <v>30</v>
      </c>
      <c r="B2" s="261" t="s">
        <v>31</v>
      </c>
      <c r="C2" s="261" t="s">
        <v>32</v>
      </c>
      <c r="D2" s="262" t="s">
        <v>710</v>
      </c>
      <c r="E2" s="476" t="s">
        <v>476</v>
      </c>
      <c r="F2" s="241"/>
    </row>
    <row r="3" spans="1:7" ht="16.5" thickTop="1" x14ac:dyDescent="0.25">
      <c r="A3" s="202" t="s">
        <v>33</v>
      </c>
      <c r="B3" s="198" t="s">
        <v>34</v>
      </c>
      <c r="C3" s="185">
        <f>27+5+7</f>
        <v>39</v>
      </c>
      <c r="D3" s="125">
        <v>17621471.370000001</v>
      </c>
      <c r="E3" s="192">
        <v>3041</v>
      </c>
      <c r="F3" s="157"/>
    </row>
    <row r="4" spans="1:7" ht="15.75" x14ac:dyDescent="0.25">
      <c r="A4" s="118"/>
      <c r="B4" s="198" t="s">
        <v>35</v>
      </c>
      <c r="C4" s="185"/>
      <c r="D4" s="125"/>
    </row>
    <row r="5" spans="1:7" ht="15.75" x14ac:dyDescent="0.25">
      <c r="A5" s="118"/>
      <c r="B5" s="198" t="s">
        <v>36</v>
      </c>
      <c r="C5" s="185" t="s">
        <v>97</v>
      </c>
      <c r="D5" s="242"/>
    </row>
    <row r="6" spans="1:7" ht="15.75" x14ac:dyDescent="0.25">
      <c r="A6" s="118"/>
      <c r="B6" s="198" t="s">
        <v>35</v>
      </c>
      <c r="C6" s="185"/>
      <c r="D6" s="125"/>
    </row>
    <row r="7" spans="1:7" ht="15.75" x14ac:dyDescent="0.25">
      <c r="A7" s="118"/>
      <c r="B7" s="198" t="s">
        <v>0</v>
      </c>
      <c r="C7" s="185"/>
      <c r="D7" s="125"/>
    </row>
    <row r="8" spans="1:7" ht="15.75" x14ac:dyDescent="0.25">
      <c r="A8" s="202" t="s">
        <v>37</v>
      </c>
      <c r="B8" s="198" t="s">
        <v>38</v>
      </c>
      <c r="C8" s="185">
        <v>4</v>
      </c>
      <c r="D8" s="125">
        <v>320190.59000000003</v>
      </c>
      <c r="E8" s="192">
        <v>3042</v>
      </c>
      <c r="F8" s="157"/>
    </row>
    <row r="9" spans="1:7" ht="15.75" x14ac:dyDescent="0.25">
      <c r="A9" s="118"/>
      <c r="B9" s="198" t="s">
        <v>39</v>
      </c>
      <c r="C9" s="185"/>
      <c r="D9" s="125"/>
    </row>
    <row r="10" spans="1:7" ht="15.75" x14ac:dyDescent="0.25">
      <c r="A10" s="118" t="s">
        <v>0</v>
      </c>
      <c r="B10" s="198" t="s">
        <v>104</v>
      </c>
      <c r="C10" s="185" t="s">
        <v>97</v>
      </c>
      <c r="D10" s="125"/>
    </row>
    <row r="11" spans="1:7" ht="15.75" x14ac:dyDescent="0.25">
      <c r="A11" s="118"/>
      <c r="B11" s="198" t="s">
        <v>39</v>
      </c>
      <c r="C11" s="185"/>
      <c r="D11" s="125"/>
    </row>
    <row r="12" spans="1:7" ht="15.75" x14ac:dyDescent="0.25">
      <c r="A12" s="118"/>
      <c r="B12" s="198" t="s">
        <v>0</v>
      </c>
      <c r="C12" s="185"/>
      <c r="D12" s="125"/>
    </row>
    <row r="13" spans="1:7" ht="15.75" x14ac:dyDescent="0.25">
      <c r="A13" s="202" t="s">
        <v>40</v>
      </c>
      <c r="B13" s="198" t="s">
        <v>34</v>
      </c>
      <c r="C13" s="185">
        <f>0+2+19</f>
        <v>21</v>
      </c>
      <c r="D13" s="243">
        <f>2843625+1694778.35+68500+106200</f>
        <v>4713103.3499999996</v>
      </c>
      <c r="E13" s="192">
        <v>3040</v>
      </c>
      <c r="F13" s="244" t="s">
        <v>571</v>
      </c>
      <c r="G13" s="113" t="s">
        <v>711</v>
      </c>
    </row>
    <row r="14" spans="1:7" ht="15.75" x14ac:dyDescent="0.25">
      <c r="A14" s="118"/>
      <c r="B14" s="198" t="s">
        <v>41</v>
      </c>
      <c r="C14" s="185"/>
      <c r="D14" s="125"/>
      <c r="G14" s="241">
        <f>68500+106200</f>
        <v>174700</v>
      </c>
    </row>
    <row r="15" spans="1:7" ht="15.75" x14ac:dyDescent="0.25">
      <c r="A15" s="118"/>
      <c r="B15" s="198" t="s">
        <v>42</v>
      </c>
      <c r="C15" s="185"/>
      <c r="D15" s="125"/>
    </row>
    <row r="16" spans="1:7" ht="15.75" x14ac:dyDescent="0.25">
      <c r="A16" s="118"/>
      <c r="B16" s="198" t="s">
        <v>0</v>
      </c>
      <c r="C16" s="185"/>
      <c r="D16" s="125"/>
      <c r="F16" s="157"/>
    </row>
    <row r="17" spans="1:6" ht="15.75" x14ac:dyDescent="0.25">
      <c r="A17" s="202" t="s">
        <v>43</v>
      </c>
      <c r="B17" s="198" t="s">
        <v>38</v>
      </c>
      <c r="C17" s="185">
        <f>2+12</f>
        <v>14</v>
      </c>
      <c r="D17" s="125">
        <f>5676966.13-2843625-1694778.35</f>
        <v>1138562.7799999998</v>
      </c>
      <c r="E17" s="192">
        <v>3040</v>
      </c>
      <c r="F17" s="157"/>
    </row>
    <row r="18" spans="1:6" ht="15.75" x14ac:dyDescent="0.25">
      <c r="A18" s="202" t="s">
        <v>44</v>
      </c>
      <c r="B18" s="198" t="s">
        <v>45</v>
      </c>
      <c r="C18" s="185"/>
      <c r="D18" s="125"/>
      <c r="F18" s="157"/>
    </row>
    <row r="19" spans="1:6" ht="15.75" x14ac:dyDescent="0.25">
      <c r="A19" s="118"/>
      <c r="B19" s="198" t="s">
        <v>46</v>
      </c>
      <c r="C19" s="185"/>
      <c r="D19" s="125"/>
    </row>
    <row r="20" spans="1:6" ht="15.75" x14ac:dyDescent="0.25">
      <c r="A20" s="139"/>
      <c r="B20" s="198" t="s">
        <v>104</v>
      </c>
      <c r="C20" s="245" t="s">
        <v>97</v>
      </c>
      <c r="D20" s="246"/>
    </row>
    <row r="21" spans="1:6" ht="15.75" x14ac:dyDescent="0.25">
      <c r="A21" s="139"/>
      <c r="B21" s="198" t="s">
        <v>45</v>
      </c>
      <c r="C21" s="245"/>
      <c r="D21" s="247"/>
    </row>
    <row r="22" spans="1:6" ht="15.75" x14ac:dyDescent="0.25">
      <c r="A22" s="139"/>
      <c r="B22" s="198" t="s">
        <v>46</v>
      </c>
      <c r="C22" s="245"/>
      <c r="D22" s="247"/>
    </row>
    <row r="23" spans="1:6" ht="16.5" thickBot="1" x14ac:dyDescent="0.3">
      <c r="A23" s="228"/>
      <c r="B23" s="199"/>
      <c r="C23" s="248"/>
      <c r="D23" s="249"/>
    </row>
    <row r="24" spans="1:6" ht="16.5" thickBot="1" x14ac:dyDescent="0.3">
      <c r="A24" s="251" t="s">
        <v>47</v>
      </c>
      <c r="B24" s="252" t="s">
        <v>0</v>
      </c>
      <c r="C24" s="253">
        <f>SUM(C3:C23)</f>
        <v>78</v>
      </c>
      <c r="D24" s="739">
        <f>SUM(D3:D23)</f>
        <v>23793328.090000004</v>
      </c>
      <c r="F24" s="157"/>
    </row>
    <row r="25" spans="1:6" ht="13.5" thickTop="1" x14ac:dyDescent="0.2">
      <c r="A25" s="250"/>
    </row>
    <row r="26" spans="1:6" x14ac:dyDescent="0.2">
      <c r="A26" s="266" t="s">
        <v>807</v>
      </c>
    </row>
    <row r="27" spans="1:6" x14ac:dyDescent="0.2">
      <c r="A27" s="113" t="s">
        <v>0</v>
      </c>
    </row>
  </sheetData>
  <mergeCells count="1">
    <mergeCell ref="A1:D1"/>
  </mergeCells>
  <phoneticPr fontId="21" type="noConversion"/>
  <printOptions horizontalCentered="1"/>
  <pageMargins left="0.75" right="0.75" top="1.25" bottom="1" header="0.33" footer="0.5"/>
  <pageSetup orientation="portrait" r:id="rId1"/>
  <headerFooter alignWithMargins="0">
    <oddHeader>&amp;C&amp;"Arial,Bold"&amp;12DEPARTMENT OF CORRECTIONS
 COST OF CARE Year 2021
(Based on Fiscal Year 2020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pageSetUpPr fitToPage="1"/>
  </sheetPr>
  <dimension ref="A1:K669"/>
  <sheetViews>
    <sheetView showGridLines="0" zoomScaleNormal="100" workbookViewId="0">
      <pane ySplit="2" topLeftCell="A638" activePane="bottomLeft" state="frozen"/>
      <selection pane="bottomLeft" activeCell="A421" sqref="A421"/>
    </sheetView>
  </sheetViews>
  <sheetFormatPr defaultColWidth="9.140625" defaultRowHeight="12.75" x14ac:dyDescent="0.2"/>
  <cols>
    <col min="1" max="1" width="24.85546875" style="525" customWidth="1"/>
    <col min="2" max="2" width="5.7109375" style="525" customWidth="1"/>
    <col min="3" max="3" width="25.42578125" style="525" bestFit="1" customWidth="1"/>
    <col min="4" max="4" width="15.42578125" style="560" customWidth="1"/>
    <col min="5" max="5" width="14.85546875" style="560" customWidth="1"/>
    <col min="6" max="6" width="19.5703125" style="560" customWidth="1"/>
    <col min="7" max="7" width="11.28515625" style="525" customWidth="1"/>
    <col min="8" max="8" width="15.7109375" style="525" customWidth="1"/>
    <col min="9" max="9" width="11.7109375" style="525" customWidth="1"/>
    <col min="10" max="10" width="9.140625" style="525"/>
    <col min="11" max="11" width="14.5703125" style="525" customWidth="1"/>
    <col min="12" max="16384" width="9.140625" style="525"/>
  </cols>
  <sheetData>
    <row r="1" spans="1:8" ht="33" customHeight="1" thickBot="1" x14ac:dyDescent="0.25">
      <c r="A1" s="871" t="s">
        <v>105</v>
      </c>
      <c r="B1" s="871"/>
      <c r="C1" s="871"/>
      <c r="D1" s="871"/>
      <c r="E1" s="871"/>
      <c r="F1" s="871"/>
    </row>
    <row r="2" spans="1:8" ht="15" customHeight="1" thickTop="1" thickBot="1" x14ac:dyDescent="0.25">
      <c r="A2" s="526" t="s">
        <v>1</v>
      </c>
      <c r="B2" s="867" t="s">
        <v>48</v>
      </c>
      <c r="C2" s="868"/>
      <c r="D2" s="869" t="s">
        <v>4</v>
      </c>
      <c r="E2" s="870"/>
      <c r="F2" s="527" t="s">
        <v>26</v>
      </c>
      <c r="G2" s="528" t="s">
        <v>476</v>
      </c>
      <c r="H2" s="529" t="s">
        <v>568</v>
      </c>
    </row>
    <row r="3" spans="1:8" ht="12.75" customHeight="1" thickTop="1" x14ac:dyDescent="0.2">
      <c r="A3" s="530" t="s">
        <v>243</v>
      </c>
      <c r="B3" s="685" t="s">
        <v>703</v>
      </c>
      <c r="C3" s="531"/>
      <c r="D3" s="532"/>
      <c r="E3" s="654">
        <v>147.19999999999999</v>
      </c>
      <c r="F3" s="533"/>
      <c r="G3" s="565" t="s">
        <v>704</v>
      </c>
    </row>
    <row r="4" spans="1:8" ht="12.75" customHeight="1" x14ac:dyDescent="0.2">
      <c r="A4" s="428"/>
      <c r="B4" s="562" t="s">
        <v>477</v>
      </c>
      <c r="C4" s="534"/>
      <c r="D4" s="535">
        <v>348081.15</v>
      </c>
      <c r="E4" s="566">
        <f>SUM(D4:D33)</f>
        <v>1576969.33</v>
      </c>
      <c r="F4" s="535"/>
    </row>
    <row r="5" spans="1:8" ht="12.75" customHeight="1" x14ac:dyDescent="0.2">
      <c r="A5" s="428"/>
      <c r="B5" s="564" t="s">
        <v>478</v>
      </c>
      <c r="C5" s="534"/>
      <c r="D5" s="535"/>
      <c r="E5" s="535"/>
      <c r="F5" s="535"/>
      <c r="G5" s="565" t="s">
        <v>505</v>
      </c>
    </row>
    <row r="6" spans="1:8" ht="12.75" customHeight="1" x14ac:dyDescent="0.2">
      <c r="A6" s="428"/>
      <c r="B6" s="564" t="s">
        <v>479</v>
      </c>
      <c r="C6" s="534"/>
      <c r="D6" s="535"/>
      <c r="E6" s="535"/>
      <c r="F6" s="535"/>
      <c r="G6" s="565" t="s">
        <v>506</v>
      </c>
    </row>
    <row r="7" spans="1:8" ht="12.75" customHeight="1" x14ac:dyDescent="0.2">
      <c r="A7" s="428"/>
      <c r="B7" s="564" t="s">
        <v>480</v>
      </c>
      <c r="C7" s="534"/>
      <c r="D7" s="535"/>
      <c r="E7" s="535"/>
      <c r="F7" s="535"/>
      <c r="G7" s="565" t="s">
        <v>507</v>
      </c>
    </row>
    <row r="8" spans="1:8" ht="12.75" customHeight="1" x14ac:dyDescent="0.2">
      <c r="A8" s="428"/>
      <c r="B8" s="564" t="s">
        <v>481</v>
      </c>
      <c r="C8" s="534"/>
      <c r="D8" s="535"/>
      <c r="E8" s="535"/>
      <c r="F8" s="535"/>
      <c r="G8" s="565" t="s">
        <v>508</v>
      </c>
    </row>
    <row r="9" spans="1:8" ht="12.75" customHeight="1" x14ac:dyDescent="0.2">
      <c r="A9" s="428"/>
      <c r="B9" s="564" t="s">
        <v>482</v>
      </c>
      <c r="C9" s="534"/>
      <c r="D9" s="535"/>
      <c r="E9" s="535"/>
      <c r="F9" s="535"/>
      <c r="G9" s="565" t="s">
        <v>509</v>
      </c>
    </row>
    <row r="10" spans="1:8" ht="12.75" customHeight="1" x14ac:dyDescent="0.2">
      <c r="A10" s="428"/>
      <c r="B10" s="573" t="s">
        <v>50</v>
      </c>
      <c r="C10" s="534"/>
      <c r="D10" s="535">
        <v>1228888.18</v>
      </c>
      <c r="E10" s="535"/>
      <c r="F10" s="535"/>
      <c r="G10" s="565">
        <v>2100</v>
      </c>
      <c r="H10" s="471" t="s">
        <v>709</v>
      </c>
    </row>
    <row r="11" spans="1:8" ht="12.75" customHeight="1" x14ac:dyDescent="0.2">
      <c r="A11" s="428"/>
      <c r="B11" s="564" t="s">
        <v>483</v>
      </c>
      <c r="C11" s="534"/>
      <c r="D11" s="535"/>
      <c r="E11" s="535"/>
      <c r="F11" s="535"/>
      <c r="G11" s="565" t="s">
        <v>510</v>
      </c>
    </row>
    <row r="12" spans="1:8" ht="12.75" customHeight="1" x14ac:dyDescent="0.2">
      <c r="A12" s="428"/>
      <c r="B12" s="564" t="s">
        <v>484</v>
      </c>
      <c r="C12" s="534"/>
      <c r="D12" s="535"/>
      <c r="E12" s="535"/>
      <c r="F12" s="535"/>
      <c r="G12" s="565" t="s">
        <v>511</v>
      </c>
    </row>
    <row r="13" spans="1:8" ht="12.75" customHeight="1" x14ac:dyDescent="0.2">
      <c r="A13" s="428"/>
      <c r="B13" s="564" t="s">
        <v>485</v>
      </c>
      <c r="C13" s="534"/>
      <c r="D13" s="535"/>
      <c r="E13" s="535"/>
      <c r="F13" s="535"/>
      <c r="G13" s="565" t="s">
        <v>512</v>
      </c>
    </row>
    <row r="14" spans="1:8" ht="12.75" customHeight="1" x14ac:dyDescent="0.2">
      <c r="A14" s="428"/>
      <c r="B14" s="564" t="s">
        <v>486</v>
      </c>
      <c r="C14" s="534"/>
      <c r="D14" s="535"/>
      <c r="E14" s="535"/>
      <c r="F14" s="535"/>
      <c r="G14" s="565" t="s">
        <v>513</v>
      </c>
    </row>
    <row r="15" spans="1:8" ht="12.75" customHeight="1" x14ac:dyDescent="0.2">
      <c r="A15" s="428"/>
      <c r="B15" s="564" t="s">
        <v>487</v>
      </c>
      <c r="C15" s="534"/>
      <c r="D15" s="535"/>
      <c r="E15" s="535"/>
      <c r="F15" s="535"/>
      <c r="G15" s="565" t="s">
        <v>514</v>
      </c>
    </row>
    <row r="16" spans="1:8" ht="12.75" customHeight="1" x14ac:dyDescent="0.2">
      <c r="A16" s="428"/>
      <c r="B16" s="564" t="s">
        <v>488</v>
      </c>
      <c r="C16" s="534"/>
      <c r="D16" s="535"/>
      <c r="E16" s="535"/>
      <c r="F16" s="535"/>
      <c r="G16" s="565" t="s">
        <v>515</v>
      </c>
    </row>
    <row r="17" spans="1:8" ht="12.75" customHeight="1" x14ac:dyDescent="0.2">
      <c r="A17" s="428"/>
      <c r="B17" s="564" t="s">
        <v>489</v>
      </c>
      <c r="C17" s="534"/>
      <c r="D17" s="535"/>
      <c r="E17" s="535"/>
      <c r="F17" s="535"/>
      <c r="G17" s="565" t="s">
        <v>516</v>
      </c>
    </row>
    <row r="18" spans="1:8" ht="12.75" customHeight="1" x14ac:dyDescent="0.2">
      <c r="A18" s="428"/>
      <c r="B18" s="564" t="s">
        <v>490</v>
      </c>
      <c r="C18" s="534"/>
      <c r="D18" s="535"/>
      <c r="E18" s="535"/>
      <c r="F18" s="535"/>
      <c r="G18" s="565" t="s">
        <v>517</v>
      </c>
    </row>
    <row r="19" spans="1:8" ht="12.75" customHeight="1" x14ac:dyDescent="0.2">
      <c r="A19" s="428"/>
      <c r="B19" s="564" t="s">
        <v>491</v>
      </c>
      <c r="C19" s="534"/>
      <c r="D19" s="535"/>
      <c r="E19" s="535"/>
      <c r="F19" s="535"/>
      <c r="G19" s="565" t="s">
        <v>518</v>
      </c>
    </row>
    <row r="20" spans="1:8" ht="12.75" customHeight="1" x14ac:dyDescent="0.2">
      <c r="A20" s="428"/>
      <c r="B20" s="564" t="s">
        <v>492</v>
      </c>
      <c r="C20" s="534"/>
      <c r="D20" s="535"/>
      <c r="E20" s="535"/>
      <c r="F20" s="535"/>
      <c r="G20" s="565" t="s">
        <v>519</v>
      </c>
    </row>
    <row r="21" spans="1:8" ht="12.75" customHeight="1" x14ac:dyDescent="0.2">
      <c r="A21" s="428"/>
      <c r="B21" s="564" t="s">
        <v>493</v>
      </c>
      <c r="C21" s="534"/>
      <c r="D21" s="535"/>
      <c r="E21" s="535"/>
      <c r="F21" s="535"/>
      <c r="G21" s="565" t="s">
        <v>520</v>
      </c>
    </row>
    <row r="22" spans="1:8" ht="12.75" customHeight="1" x14ac:dyDescent="0.2">
      <c r="A22" s="428"/>
      <c r="B22" s="564" t="s">
        <v>494</v>
      </c>
      <c r="C22" s="534"/>
      <c r="D22" s="535"/>
      <c r="E22" s="535"/>
      <c r="F22" s="535"/>
      <c r="G22" s="565" t="s">
        <v>521</v>
      </c>
    </row>
    <row r="23" spans="1:8" ht="12.75" customHeight="1" x14ac:dyDescent="0.2">
      <c r="A23" s="428"/>
      <c r="B23" s="564" t="s">
        <v>495</v>
      </c>
      <c r="C23" s="534"/>
      <c r="D23" s="535"/>
      <c r="E23" s="535"/>
      <c r="F23" s="535"/>
      <c r="G23" s="565" t="s">
        <v>522</v>
      </c>
    </row>
    <row r="24" spans="1:8" ht="12.75" customHeight="1" x14ac:dyDescent="0.2">
      <c r="A24" s="428"/>
      <c r="B24" s="564" t="s">
        <v>496</v>
      </c>
      <c r="C24" s="534"/>
      <c r="D24" s="535"/>
      <c r="E24" s="535"/>
      <c r="F24" s="535"/>
      <c r="G24" s="565" t="s">
        <v>523</v>
      </c>
    </row>
    <row r="25" spans="1:8" ht="12.75" customHeight="1" x14ac:dyDescent="0.2">
      <c r="A25" s="428"/>
      <c r="B25" s="564" t="s">
        <v>497</v>
      </c>
      <c r="C25" s="534"/>
      <c r="D25" s="535"/>
      <c r="E25" s="535"/>
      <c r="F25" s="535"/>
      <c r="G25" s="565" t="s">
        <v>524</v>
      </c>
    </row>
    <row r="26" spans="1:8" ht="12.75" customHeight="1" x14ac:dyDescent="0.2">
      <c r="A26" s="428"/>
      <c r="B26" s="564" t="s">
        <v>498</v>
      </c>
      <c r="C26" s="534"/>
      <c r="D26" s="535"/>
      <c r="E26" s="535"/>
      <c r="F26" s="535"/>
      <c r="G26" s="565" t="s">
        <v>525</v>
      </c>
    </row>
    <row r="27" spans="1:8" ht="12.75" customHeight="1" x14ac:dyDescent="0.2">
      <c r="A27" s="428"/>
      <c r="B27" s="564" t="s">
        <v>499</v>
      </c>
      <c r="C27" s="534"/>
      <c r="D27" s="535"/>
      <c r="E27" s="535"/>
      <c r="F27" s="535"/>
      <c r="G27" s="565" t="s">
        <v>526</v>
      </c>
    </row>
    <row r="28" spans="1:8" ht="12.75" customHeight="1" x14ac:dyDescent="0.2">
      <c r="A28" s="428"/>
      <c r="B28" s="564" t="s">
        <v>500</v>
      </c>
      <c r="C28" s="534"/>
      <c r="D28" s="535"/>
      <c r="E28" s="535"/>
      <c r="F28" s="535"/>
      <c r="G28" s="565" t="s">
        <v>527</v>
      </c>
    </row>
    <row r="29" spans="1:8" ht="12.75" customHeight="1" x14ac:dyDescent="0.2">
      <c r="A29" s="428"/>
      <c r="B29" s="564" t="s">
        <v>501</v>
      </c>
      <c r="C29" s="534"/>
      <c r="D29" s="535"/>
      <c r="E29" s="535"/>
      <c r="F29" s="535"/>
      <c r="G29" s="565" t="s">
        <v>528</v>
      </c>
    </row>
    <row r="30" spans="1:8" ht="12.75" customHeight="1" x14ac:dyDescent="0.2">
      <c r="A30" s="428"/>
      <c r="B30" s="564" t="s">
        <v>502</v>
      </c>
      <c r="C30" s="534"/>
      <c r="D30" s="535"/>
      <c r="E30" s="535"/>
      <c r="F30" s="535"/>
      <c r="G30" s="565" t="s">
        <v>529</v>
      </c>
      <c r="H30" s="537"/>
    </row>
    <row r="31" spans="1:8" ht="12.75" customHeight="1" x14ac:dyDescent="0.2">
      <c r="A31" s="428"/>
      <c r="B31" s="564" t="s">
        <v>503</v>
      </c>
      <c r="C31" s="534"/>
      <c r="D31" s="535"/>
      <c r="E31" s="535"/>
      <c r="F31" s="535"/>
      <c r="G31" s="565" t="s">
        <v>530</v>
      </c>
    </row>
    <row r="32" spans="1:8" ht="12.75" customHeight="1" x14ac:dyDescent="0.2">
      <c r="A32" s="428"/>
      <c r="B32" s="564" t="s">
        <v>504</v>
      </c>
      <c r="C32" s="534"/>
      <c r="D32" s="535"/>
      <c r="E32" s="535"/>
      <c r="F32" s="535"/>
      <c r="G32" s="565" t="s">
        <v>531</v>
      </c>
      <c r="H32" s="537"/>
    </row>
    <row r="33" spans="1:9" ht="12.75" customHeight="1" x14ac:dyDescent="0.2">
      <c r="A33" s="428"/>
      <c r="B33" s="536"/>
      <c r="C33" s="563"/>
      <c r="D33" s="535"/>
      <c r="E33" s="535"/>
      <c r="F33" s="535"/>
    </row>
    <row r="34" spans="1:9" ht="12.75" customHeight="1" x14ac:dyDescent="0.2">
      <c r="A34" s="428"/>
      <c r="B34" s="567" t="s">
        <v>252</v>
      </c>
      <c r="D34" s="535">
        <v>5414052.2300000004</v>
      </c>
      <c r="E34" s="566">
        <f>SUM(D34)</f>
        <v>5414052.2300000004</v>
      </c>
      <c r="F34" s="535"/>
      <c r="G34" s="525">
        <v>3001</v>
      </c>
      <c r="H34" s="537"/>
    </row>
    <row r="35" spans="1:9" ht="12.75" customHeight="1" x14ac:dyDescent="0.2">
      <c r="A35" s="428"/>
      <c r="B35" s="568" t="s">
        <v>377</v>
      </c>
      <c r="C35" s="539"/>
      <c r="D35" s="535"/>
      <c r="E35" s="566">
        <f>SUM(D36:D41)</f>
        <v>2566791.3200000003</v>
      </c>
      <c r="F35" s="535"/>
    </row>
    <row r="36" spans="1:9" ht="12.75" customHeight="1" x14ac:dyDescent="0.2">
      <c r="A36" s="428"/>
      <c r="B36" s="536"/>
      <c r="C36" s="538" t="s">
        <v>253</v>
      </c>
      <c r="D36" s="535">
        <v>246780.92</v>
      </c>
      <c r="E36" s="535"/>
      <c r="F36" s="535"/>
      <c r="G36" s="525">
        <v>4000</v>
      </c>
    </row>
    <row r="37" spans="1:9" ht="12.75" customHeight="1" x14ac:dyDescent="0.2">
      <c r="A37" s="428"/>
      <c r="B37" s="536"/>
      <c r="C37" s="538" t="s">
        <v>254</v>
      </c>
      <c r="D37" s="535">
        <v>0</v>
      </c>
      <c r="E37" s="535"/>
      <c r="F37" s="535"/>
    </row>
    <row r="38" spans="1:9" ht="12.75" customHeight="1" x14ac:dyDescent="0.2">
      <c r="A38" s="428"/>
      <c r="B38" s="536"/>
      <c r="C38" s="538" t="s">
        <v>255</v>
      </c>
      <c r="D38" s="535">
        <v>1976010.47</v>
      </c>
      <c r="E38" s="535"/>
      <c r="F38" s="535"/>
      <c r="G38" s="525">
        <v>4002</v>
      </c>
    </row>
    <row r="39" spans="1:9" ht="12.75" customHeight="1" x14ac:dyDescent="0.2">
      <c r="A39" s="428"/>
      <c r="B39" s="536"/>
      <c r="C39" s="538" t="s">
        <v>256</v>
      </c>
      <c r="D39" s="535">
        <v>7549.93</v>
      </c>
      <c r="E39" s="535"/>
      <c r="F39" s="535"/>
      <c r="G39" s="525">
        <v>4003</v>
      </c>
    </row>
    <row r="40" spans="1:9" ht="12.75" customHeight="1" x14ac:dyDescent="0.2">
      <c r="A40" s="428"/>
      <c r="B40" s="536"/>
      <c r="C40" s="539" t="s">
        <v>257</v>
      </c>
      <c r="D40" s="535">
        <v>118116.76</v>
      </c>
      <c r="E40" s="535"/>
      <c r="F40" s="535"/>
      <c r="G40" s="525">
        <v>4004</v>
      </c>
    </row>
    <row r="41" spans="1:9" ht="12.75" customHeight="1" x14ac:dyDescent="0.2">
      <c r="A41" s="428"/>
      <c r="B41" s="536"/>
      <c r="C41" s="539" t="s">
        <v>115</v>
      </c>
      <c r="D41" s="535">
        <v>218333.24</v>
      </c>
      <c r="E41" s="535"/>
      <c r="F41" s="535"/>
      <c r="G41" s="525">
        <v>4005</v>
      </c>
    </row>
    <row r="42" spans="1:9" ht="12.75" customHeight="1" x14ac:dyDescent="0.2">
      <c r="A42" s="540"/>
      <c r="B42" s="568" t="s">
        <v>702</v>
      </c>
      <c r="C42" s="571"/>
      <c r="D42" s="535">
        <v>-31117.39</v>
      </c>
      <c r="E42" s="566">
        <f>SUM(D42)</f>
        <v>-31117.39</v>
      </c>
      <c r="F42" s="543"/>
      <c r="G42" s="525">
        <v>4970</v>
      </c>
    </row>
    <row r="43" spans="1:9" ht="12.75" customHeight="1" x14ac:dyDescent="0.2">
      <c r="A43" s="540"/>
      <c r="B43" s="570" t="s">
        <v>259</v>
      </c>
      <c r="D43" s="535">
        <v>0</v>
      </c>
      <c r="E43" s="569">
        <f>D43</f>
        <v>0</v>
      </c>
      <c r="F43" s="543"/>
      <c r="G43" s="525">
        <v>5000</v>
      </c>
    </row>
    <row r="44" spans="1:9" ht="12.75" customHeight="1" thickBot="1" x14ac:dyDescent="0.25">
      <c r="A44" s="544"/>
      <c r="B44" s="545"/>
      <c r="C44" s="546"/>
      <c r="D44" s="547"/>
      <c r="E44" s="548"/>
      <c r="F44" s="736">
        <f>SUM(E3:E43)</f>
        <v>9526842.6900000013</v>
      </c>
      <c r="H44" s="549">
        <f>'Sched-B1'!B4+'Sched-B2'!E20+'Sched-D1'!F44-37642193.93-1228888.18</f>
        <v>0</v>
      </c>
    </row>
    <row r="45" spans="1:9" ht="12.75" customHeight="1" x14ac:dyDescent="0.2">
      <c r="A45" s="530" t="s">
        <v>533</v>
      </c>
      <c r="B45" s="685" t="s">
        <v>703</v>
      </c>
      <c r="C45" s="531"/>
      <c r="D45" s="532"/>
      <c r="E45" s="654">
        <v>9284.3799999999992</v>
      </c>
      <c r="F45" s="533"/>
    </row>
    <row r="46" spans="1:9" ht="12.75" customHeight="1" x14ac:dyDescent="0.2">
      <c r="A46" s="428"/>
      <c r="B46" s="562" t="s">
        <v>477</v>
      </c>
      <c r="C46" s="534"/>
      <c r="D46" s="535">
        <v>170172.25</v>
      </c>
      <c r="E46" s="566">
        <f>SUM(D46:D78)</f>
        <v>543931.51</v>
      </c>
      <c r="F46" s="535"/>
      <c r="H46" s="537">
        <f>E46+10447.84</f>
        <v>554379.35</v>
      </c>
    </row>
    <row r="47" spans="1:9" ht="12.75" customHeight="1" x14ac:dyDescent="0.2">
      <c r="A47" s="428"/>
      <c r="B47" s="573" t="s">
        <v>808</v>
      </c>
      <c r="C47" s="471"/>
      <c r="D47" s="821">
        <f>-828.04-9619.8</f>
        <v>-10447.84</v>
      </c>
      <c r="E47" s="535"/>
      <c r="F47" s="535"/>
      <c r="H47" s="537">
        <f>H46-E46</f>
        <v>10447.839999999967</v>
      </c>
      <c r="I47" s="525" t="s">
        <v>660</v>
      </c>
    </row>
    <row r="48" spans="1:9" ht="12.75" customHeight="1" x14ac:dyDescent="0.2">
      <c r="A48" s="428"/>
      <c r="B48" s="564" t="s">
        <v>478</v>
      </c>
      <c r="C48" s="534"/>
      <c r="D48" s="535"/>
      <c r="E48" s="535"/>
      <c r="F48" s="535"/>
      <c r="G48" s="565" t="s">
        <v>505</v>
      </c>
    </row>
    <row r="49" spans="1:7" ht="12.75" customHeight="1" x14ac:dyDescent="0.2">
      <c r="A49" s="428"/>
      <c r="B49" s="564" t="s">
        <v>479</v>
      </c>
      <c r="C49" s="534"/>
      <c r="D49" s="535"/>
      <c r="E49" s="535"/>
      <c r="F49" s="535"/>
      <c r="G49" s="565" t="s">
        <v>506</v>
      </c>
    </row>
    <row r="50" spans="1:7" ht="12.75" customHeight="1" x14ac:dyDescent="0.2">
      <c r="A50" s="428"/>
      <c r="B50" s="564" t="s">
        <v>480</v>
      </c>
      <c r="C50" s="534"/>
      <c r="D50" s="535"/>
      <c r="E50" s="535"/>
      <c r="F50" s="535"/>
      <c r="G50" s="565" t="s">
        <v>507</v>
      </c>
    </row>
    <row r="51" spans="1:7" ht="12.75" customHeight="1" x14ac:dyDescent="0.2">
      <c r="A51" s="428"/>
      <c r="B51" s="564" t="s">
        <v>481</v>
      </c>
      <c r="C51" s="534"/>
      <c r="D51" s="535"/>
      <c r="E51" s="535"/>
      <c r="F51" s="535"/>
      <c r="G51" s="565" t="s">
        <v>508</v>
      </c>
    </row>
    <row r="52" spans="1:7" ht="12.75" customHeight="1" x14ac:dyDescent="0.2">
      <c r="A52" s="428"/>
      <c r="B52" s="564" t="s">
        <v>482</v>
      </c>
      <c r="C52" s="534"/>
      <c r="D52" s="535"/>
      <c r="E52" s="535"/>
      <c r="F52" s="535"/>
      <c r="G52" s="565" t="s">
        <v>509</v>
      </c>
    </row>
    <row r="53" spans="1:7" ht="12.75" customHeight="1" x14ac:dyDescent="0.2">
      <c r="A53" s="428"/>
      <c r="B53" s="573" t="s">
        <v>50</v>
      </c>
      <c r="C53" s="534"/>
      <c r="D53" s="535">
        <v>384207.1</v>
      </c>
      <c r="E53" s="535"/>
      <c r="F53" s="535"/>
      <c r="G53" s="565"/>
    </row>
    <row r="54" spans="1:7" ht="12.75" customHeight="1" x14ac:dyDescent="0.2">
      <c r="A54" s="428"/>
      <c r="B54" s="564" t="s">
        <v>483</v>
      </c>
      <c r="C54" s="534"/>
      <c r="D54" s="535"/>
      <c r="E54" s="535"/>
      <c r="F54" s="535"/>
      <c r="G54" s="565" t="s">
        <v>510</v>
      </c>
    </row>
    <row r="55" spans="1:7" ht="12.75" customHeight="1" x14ac:dyDescent="0.2">
      <c r="A55" s="428"/>
      <c r="B55" s="564" t="s">
        <v>484</v>
      </c>
      <c r="C55" s="534"/>
      <c r="D55" s="535"/>
      <c r="E55" s="535"/>
      <c r="F55" s="535"/>
      <c r="G55" s="565" t="s">
        <v>511</v>
      </c>
    </row>
    <row r="56" spans="1:7" ht="12.75" customHeight="1" x14ac:dyDescent="0.2">
      <c r="A56" s="428"/>
      <c r="B56" s="564" t="s">
        <v>534</v>
      </c>
      <c r="C56" s="534"/>
      <c r="D56" s="535"/>
      <c r="E56" s="535"/>
      <c r="F56" s="535"/>
      <c r="G56" s="565">
        <v>3034</v>
      </c>
    </row>
    <row r="57" spans="1:7" ht="12.75" customHeight="1" x14ac:dyDescent="0.2">
      <c r="A57" s="428"/>
      <c r="B57" s="564" t="s">
        <v>485</v>
      </c>
      <c r="C57" s="534"/>
      <c r="D57" s="535"/>
      <c r="E57" s="535"/>
      <c r="F57" s="535"/>
      <c r="G57" s="565" t="s">
        <v>512</v>
      </c>
    </row>
    <row r="58" spans="1:7" ht="12.75" customHeight="1" x14ac:dyDescent="0.2">
      <c r="A58" s="428"/>
      <c r="B58" s="564" t="s">
        <v>486</v>
      </c>
      <c r="C58" s="534"/>
      <c r="D58" s="535"/>
      <c r="E58" s="535"/>
      <c r="F58" s="535"/>
      <c r="G58" s="565" t="s">
        <v>513</v>
      </c>
    </row>
    <row r="59" spans="1:7" ht="12.75" customHeight="1" x14ac:dyDescent="0.2">
      <c r="A59" s="428"/>
      <c r="B59" s="564" t="s">
        <v>487</v>
      </c>
      <c r="C59" s="534"/>
      <c r="D59" s="535"/>
      <c r="E59" s="535"/>
      <c r="F59" s="535"/>
      <c r="G59" s="565" t="s">
        <v>514</v>
      </c>
    </row>
    <row r="60" spans="1:7" ht="12.75" customHeight="1" x14ac:dyDescent="0.2">
      <c r="A60" s="428"/>
      <c r="B60" s="564" t="s">
        <v>488</v>
      </c>
      <c r="C60" s="534"/>
      <c r="D60" s="535"/>
      <c r="E60" s="535"/>
      <c r="F60" s="535"/>
      <c r="G60" s="565" t="s">
        <v>515</v>
      </c>
    </row>
    <row r="61" spans="1:7" ht="12.75" customHeight="1" x14ac:dyDescent="0.2">
      <c r="A61" s="428"/>
      <c r="B61" s="564" t="s">
        <v>489</v>
      </c>
      <c r="C61" s="534"/>
      <c r="D61" s="535"/>
      <c r="E61" s="535"/>
      <c r="F61" s="535"/>
      <c r="G61" s="565" t="s">
        <v>516</v>
      </c>
    </row>
    <row r="62" spans="1:7" ht="12.75" customHeight="1" x14ac:dyDescent="0.2">
      <c r="A62" s="428"/>
      <c r="B62" s="564" t="s">
        <v>490</v>
      </c>
      <c r="C62" s="534"/>
      <c r="D62" s="535"/>
      <c r="E62" s="535"/>
      <c r="F62" s="535"/>
      <c r="G62" s="565" t="s">
        <v>517</v>
      </c>
    </row>
    <row r="63" spans="1:7" ht="12.75" customHeight="1" x14ac:dyDescent="0.2">
      <c r="A63" s="428"/>
      <c r="B63" s="564" t="s">
        <v>491</v>
      </c>
      <c r="C63" s="534"/>
      <c r="D63" s="535"/>
      <c r="E63" s="535"/>
      <c r="F63" s="535"/>
      <c r="G63" s="565" t="s">
        <v>518</v>
      </c>
    </row>
    <row r="64" spans="1:7" ht="12.75" customHeight="1" x14ac:dyDescent="0.2">
      <c r="A64" s="428"/>
      <c r="B64" s="564" t="s">
        <v>492</v>
      </c>
      <c r="C64" s="534"/>
      <c r="D64" s="535"/>
      <c r="E64" s="535"/>
      <c r="F64" s="535"/>
      <c r="G64" s="565" t="s">
        <v>519</v>
      </c>
    </row>
    <row r="65" spans="1:8" ht="12.75" customHeight="1" x14ac:dyDescent="0.2">
      <c r="A65" s="428"/>
      <c r="B65" s="564" t="s">
        <v>493</v>
      </c>
      <c r="C65" s="534"/>
      <c r="D65" s="535"/>
      <c r="E65" s="535"/>
      <c r="F65" s="535"/>
      <c r="G65" s="565" t="s">
        <v>520</v>
      </c>
    </row>
    <row r="66" spans="1:8" ht="12.75" customHeight="1" x14ac:dyDescent="0.2">
      <c r="A66" s="428"/>
      <c r="B66" s="564" t="s">
        <v>535</v>
      </c>
      <c r="C66" s="534"/>
      <c r="D66" s="535"/>
      <c r="E66" s="535"/>
      <c r="F66" s="535"/>
      <c r="G66" s="565">
        <v>3048</v>
      </c>
    </row>
    <row r="67" spans="1:8" ht="12.75" customHeight="1" x14ac:dyDescent="0.2">
      <c r="A67" s="428"/>
      <c r="B67" s="564" t="s">
        <v>494</v>
      </c>
      <c r="C67" s="534"/>
      <c r="D67" s="535"/>
      <c r="E67" s="535"/>
      <c r="F67" s="535"/>
      <c r="G67" s="565" t="s">
        <v>521</v>
      </c>
    </row>
    <row r="68" spans="1:8" ht="12.75" customHeight="1" x14ac:dyDescent="0.2">
      <c r="A68" s="428"/>
      <c r="B68" s="564" t="s">
        <v>495</v>
      </c>
      <c r="C68" s="534"/>
      <c r="D68" s="535"/>
      <c r="E68" s="535"/>
      <c r="F68" s="535"/>
      <c r="G68" s="565" t="s">
        <v>522</v>
      </c>
    </row>
    <row r="69" spans="1:8" ht="12.75" customHeight="1" x14ac:dyDescent="0.2">
      <c r="A69" s="428"/>
      <c r="B69" s="564" t="s">
        <v>496</v>
      </c>
      <c r="C69" s="534"/>
      <c r="D69" s="535"/>
      <c r="E69" s="535"/>
      <c r="F69" s="535"/>
      <c r="G69" s="565" t="s">
        <v>523</v>
      </c>
    </row>
    <row r="70" spans="1:8" ht="12.75" customHeight="1" x14ac:dyDescent="0.2">
      <c r="A70" s="428"/>
      <c r="B70" s="564" t="s">
        <v>497</v>
      </c>
      <c r="C70" s="534"/>
      <c r="D70" s="535"/>
      <c r="E70" s="535"/>
      <c r="F70" s="535"/>
      <c r="G70" s="565" t="s">
        <v>524</v>
      </c>
    </row>
    <row r="71" spans="1:8" ht="12.75" customHeight="1" x14ac:dyDescent="0.2">
      <c r="A71" s="428"/>
      <c r="B71" s="564" t="s">
        <v>498</v>
      </c>
      <c r="C71" s="534"/>
      <c r="D71" s="535"/>
      <c r="E71" s="535"/>
      <c r="F71" s="535"/>
      <c r="G71" s="565" t="s">
        <v>525</v>
      </c>
    </row>
    <row r="72" spans="1:8" ht="12.75" customHeight="1" x14ac:dyDescent="0.2">
      <c r="A72" s="428"/>
      <c r="B72" s="564" t="s">
        <v>499</v>
      </c>
      <c r="C72" s="534"/>
      <c r="D72" s="535"/>
      <c r="E72" s="535"/>
      <c r="F72" s="535"/>
      <c r="G72" s="565" t="s">
        <v>526</v>
      </c>
    </row>
    <row r="73" spans="1:8" ht="12.75" customHeight="1" x14ac:dyDescent="0.2">
      <c r="A73" s="428"/>
      <c r="B73" s="564" t="s">
        <v>536</v>
      </c>
      <c r="C73" s="534"/>
      <c r="D73" s="535"/>
      <c r="E73" s="535"/>
      <c r="F73" s="535"/>
      <c r="G73" s="565">
        <v>3061</v>
      </c>
    </row>
    <row r="74" spans="1:8" ht="12.75" customHeight="1" x14ac:dyDescent="0.2">
      <c r="A74" s="428"/>
      <c r="B74" s="564" t="s">
        <v>500</v>
      </c>
      <c r="C74" s="534"/>
      <c r="D74" s="535"/>
      <c r="E74" s="535"/>
      <c r="F74" s="535"/>
      <c r="G74" s="565" t="s">
        <v>527</v>
      </c>
    </row>
    <row r="75" spans="1:8" ht="12.75" customHeight="1" x14ac:dyDescent="0.2">
      <c r="A75" s="428"/>
      <c r="B75" s="564" t="s">
        <v>501</v>
      </c>
      <c r="C75" s="534"/>
      <c r="D75" s="535"/>
      <c r="E75" s="535"/>
      <c r="F75" s="535"/>
      <c r="G75" s="565" t="s">
        <v>528</v>
      </c>
    </row>
    <row r="76" spans="1:8" ht="12.75" customHeight="1" x14ac:dyDescent="0.2">
      <c r="A76" s="428"/>
      <c r="B76" s="564" t="s">
        <v>502</v>
      </c>
      <c r="C76" s="534"/>
      <c r="D76" s="535"/>
      <c r="E76" s="535"/>
      <c r="F76" s="535"/>
      <c r="G76" s="565" t="s">
        <v>529</v>
      </c>
      <c r="H76" s="537"/>
    </row>
    <row r="77" spans="1:8" ht="12.75" customHeight="1" x14ac:dyDescent="0.2">
      <c r="A77" s="428"/>
      <c r="B77" s="564" t="s">
        <v>503</v>
      </c>
      <c r="C77" s="534"/>
      <c r="D77" s="535"/>
      <c r="E77" s="535"/>
      <c r="F77" s="535"/>
      <c r="G77" s="565" t="s">
        <v>530</v>
      </c>
    </row>
    <row r="78" spans="1:8" ht="12.75" customHeight="1" x14ac:dyDescent="0.2">
      <c r="A78" s="428"/>
      <c r="B78" s="564" t="s">
        <v>504</v>
      </c>
      <c r="C78" s="534"/>
      <c r="D78" s="535"/>
      <c r="E78" s="535"/>
      <c r="F78" s="535"/>
      <c r="G78" s="565" t="s">
        <v>531</v>
      </c>
      <c r="H78" s="537"/>
    </row>
    <row r="79" spans="1:8" ht="12.75" customHeight="1" x14ac:dyDescent="0.2">
      <c r="A79" s="428"/>
      <c r="B79" s="567" t="s">
        <v>252</v>
      </c>
      <c r="C79" s="538"/>
      <c r="D79" s="535">
        <v>113829.68</v>
      </c>
      <c r="E79" s="566">
        <f>SUM(D79)</f>
        <v>113829.68</v>
      </c>
      <c r="F79" s="535"/>
      <c r="H79" s="537"/>
    </row>
    <row r="80" spans="1:8" ht="12.75" customHeight="1" x14ac:dyDescent="0.2">
      <c r="A80" s="428"/>
      <c r="B80" s="568" t="s">
        <v>377</v>
      </c>
      <c r="C80" s="539"/>
      <c r="D80" s="535"/>
      <c r="E80" s="566">
        <f>SUM(D81:D86)</f>
        <v>485306.14</v>
      </c>
      <c r="F80" s="535"/>
      <c r="H80" s="537"/>
    </row>
    <row r="81" spans="1:8" ht="12.75" customHeight="1" x14ac:dyDescent="0.2">
      <c r="A81" s="428"/>
      <c r="B81" s="536"/>
      <c r="C81" s="538" t="s">
        <v>253</v>
      </c>
      <c r="D81" s="535">
        <v>24963.31</v>
      </c>
      <c r="E81" s="535"/>
      <c r="F81" s="535"/>
    </row>
    <row r="82" spans="1:8" ht="12.75" customHeight="1" x14ac:dyDescent="0.2">
      <c r="A82" s="428"/>
      <c r="B82" s="536"/>
      <c r="C82" s="538" t="s">
        <v>254</v>
      </c>
      <c r="D82" s="535">
        <v>74.540000000000006</v>
      </c>
      <c r="E82" s="535"/>
      <c r="F82" s="535"/>
    </row>
    <row r="83" spans="1:8" ht="12.75" customHeight="1" x14ac:dyDescent="0.2">
      <c r="A83" s="428"/>
      <c r="B83" s="536"/>
      <c r="C83" s="538" t="s">
        <v>255</v>
      </c>
      <c r="D83" s="535">
        <v>412126.08</v>
      </c>
      <c r="E83" s="535"/>
      <c r="F83" s="535"/>
    </row>
    <row r="84" spans="1:8" ht="12.75" customHeight="1" x14ac:dyDescent="0.2">
      <c r="A84" s="550"/>
      <c r="B84" s="536"/>
      <c r="C84" s="538" t="s">
        <v>256</v>
      </c>
      <c r="D84" s="535">
        <v>1291.48</v>
      </c>
      <c r="E84" s="535"/>
      <c r="F84" s="535"/>
    </row>
    <row r="85" spans="1:8" ht="12.75" customHeight="1" x14ac:dyDescent="0.2">
      <c r="A85" s="428"/>
      <c r="B85" s="536"/>
      <c r="C85" s="539" t="s">
        <v>257</v>
      </c>
      <c r="D85" s="535">
        <v>14835.02</v>
      </c>
      <c r="E85" s="535"/>
      <c r="F85" s="535"/>
    </row>
    <row r="86" spans="1:8" ht="12.75" customHeight="1" x14ac:dyDescent="0.2">
      <c r="A86" s="428"/>
      <c r="B86" s="541"/>
      <c r="C86" s="539" t="s">
        <v>115</v>
      </c>
      <c r="D86" s="535">
        <v>32015.71</v>
      </c>
      <c r="E86" s="535"/>
      <c r="F86" s="535"/>
      <c r="G86" s="525">
        <v>4005</v>
      </c>
    </row>
    <row r="87" spans="1:8" ht="12.75" customHeight="1" x14ac:dyDescent="0.2">
      <c r="A87" s="428"/>
      <c r="B87" s="568" t="s">
        <v>702</v>
      </c>
      <c r="C87" s="539"/>
      <c r="D87" s="535">
        <v>-9878.41</v>
      </c>
      <c r="E87" s="566">
        <f>D87</f>
        <v>-9878.41</v>
      </c>
      <c r="F87" s="535"/>
      <c r="H87" s="537"/>
    </row>
    <row r="88" spans="1:8" ht="12.75" customHeight="1" x14ac:dyDescent="0.2">
      <c r="A88" s="540"/>
      <c r="B88" s="570" t="s">
        <v>259</v>
      </c>
      <c r="C88" s="542"/>
      <c r="D88" s="535">
        <v>0</v>
      </c>
      <c r="E88" s="569">
        <f>D88</f>
        <v>0</v>
      </c>
      <c r="F88" s="543"/>
      <c r="H88" s="537"/>
    </row>
    <row r="89" spans="1:8" ht="12.75" customHeight="1" thickBot="1" x14ac:dyDescent="0.25">
      <c r="A89" s="544"/>
      <c r="B89" s="545"/>
      <c r="C89" s="546"/>
      <c r="D89" s="551"/>
      <c r="E89" s="548"/>
      <c r="F89" s="736">
        <f>SUM(E45:E89)</f>
        <v>1142473.3</v>
      </c>
      <c r="H89" s="549">
        <f>'Sched-B1'!B5+'Sched-B2'!E37+'Sched-D1'!F89-6844764.62-384207.1+10447.84</f>
        <v>-2.0008883439004421E-10</v>
      </c>
    </row>
    <row r="90" spans="1:8" ht="12.75" customHeight="1" x14ac:dyDescent="0.2">
      <c r="A90" s="530" t="s">
        <v>532</v>
      </c>
      <c r="B90" s="685" t="s">
        <v>703</v>
      </c>
      <c r="C90" s="531"/>
      <c r="D90" s="532"/>
      <c r="E90" s="654">
        <v>60</v>
      </c>
      <c r="F90" s="533"/>
      <c r="G90" s="525">
        <v>2000</v>
      </c>
    </row>
    <row r="91" spans="1:8" ht="12.75" customHeight="1" x14ac:dyDescent="0.2">
      <c r="A91" s="428"/>
      <c r="B91" s="562" t="s">
        <v>477</v>
      </c>
      <c r="C91" s="534"/>
      <c r="D91" s="535">
        <v>290086.68</v>
      </c>
      <c r="E91" s="566">
        <f>SUM(D91:D127)</f>
        <v>1006000.48</v>
      </c>
      <c r="F91" s="535"/>
    </row>
    <row r="92" spans="1:8" ht="12.75" customHeight="1" x14ac:dyDescent="0.2">
      <c r="A92" s="428"/>
      <c r="B92" s="564" t="s">
        <v>478</v>
      </c>
      <c r="C92" s="534"/>
      <c r="D92" s="535"/>
      <c r="E92" s="535"/>
      <c r="F92" s="535"/>
      <c r="G92" s="565" t="s">
        <v>505</v>
      </c>
    </row>
    <row r="93" spans="1:8" ht="12.75" customHeight="1" x14ac:dyDescent="0.2">
      <c r="A93" s="428"/>
      <c r="B93" s="564" t="s">
        <v>479</v>
      </c>
      <c r="C93" s="534"/>
      <c r="D93" s="535"/>
      <c r="E93" s="535"/>
      <c r="F93" s="535"/>
      <c r="G93" s="565" t="s">
        <v>506</v>
      </c>
    </row>
    <row r="94" spans="1:8" ht="12.75" customHeight="1" x14ac:dyDescent="0.2">
      <c r="A94" s="428"/>
      <c r="B94" s="564" t="s">
        <v>537</v>
      </c>
      <c r="C94" s="534"/>
      <c r="D94" s="535"/>
      <c r="E94" s="535"/>
      <c r="F94" s="535"/>
      <c r="G94" s="565">
        <v>3003</v>
      </c>
    </row>
    <row r="95" spans="1:8" ht="12.75" customHeight="1" x14ac:dyDescent="0.2">
      <c r="A95" s="428"/>
      <c r="B95" s="564" t="s">
        <v>480</v>
      </c>
      <c r="C95" s="534"/>
      <c r="D95" s="535"/>
      <c r="E95" s="535"/>
      <c r="F95" s="535"/>
      <c r="G95" s="565" t="s">
        <v>507</v>
      </c>
    </row>
    <row r="96" spans="1:8" ht="12.75" customHeight="1" x14ac:dyDescent="0.2">
      <c r="A96" s="428"/>
      <c r="B96" s="564" t="s">
        <v>481</v>
      </c>
      <c r="C96" s="534"/>
      <c r="D96" s="535"/>
      <c r="E96" s="535"/>
      <c r="F96" s="535"/>
      <c r="G96" s="565" t="s">
        <v>508</v>
      </c>
    </row>
    <row r="97" spans="1:7" ht="12.75" customHeight="1" x14ac:dyDescent="0.2">
      <c r="A97" s="428"/>
      <c r="B97" s="564" t="s">
        <v>482</v>
      </c>
      <c r="C97" s="534"/>
      <c r="D97" s="535"/>
      <c r="E97" s="535"/>
      <c r="F97" s="535"/>
      <c r="G97" s="565" t="s">
        <v>509</v>
      </c>
    </row>
    <row r="98" spans="1:7" ht="12.75" customHeight="1" x14ac:dyDescent="0.2">
      <c r="A98" s="428"/>
      <c r="B98" s="573" t="s">
        <v>50</v>
      </c>
      <c r="C98" s="534"/>
      <c r="D98" s="535">
        <v>715913.8</v>
      </c>
      <c r="E98" s="535"/>
      <c r="F98" s="535"/>
      <c r="G98" s="565"/>
    </row>
    <row r="99" spans="1:7" ht="12.75" customHeight="1" x14ac:dyDescent="0.2">
      <c r="A99" s="428"/>
      <c r="B99" s="564" t="s">
        <v>483</v>
      </c>
      <c r="C99" s="534"/>
      <c r="D99" s="535"/>
      <c r="E99" s="535"/>
      <c r="F99" s="535"/>
      <c r="G99" s="565" t="s">
        <v>510</v>
      </c>
    </row>
    <row r="100" spans="1:7" ht="12.75" customHeight="1" x14ac:dyDescent="0.2">
      <c r="A100" s="428"/>
      <c r="B100" s="564" t="s">
        <v>484</v>
      </c>
      <c r="C100" s="534"/>
      <c r="D100" s="535"/>
      <c r="E100" s="535"/>
      <c r="F100" s="535"/>
      <c r="G100" s="565" t="s">
        <v>511</v>
      </c>
    </row>
    <row r="101" spans="1:7" ht="12.75" customHeight="1" x14ac:dyDescent="0.2">
      <c r="A101" s="428"/>
      <c r="B101" s="564" t="s">
        <v>534</v>
      </c>
      <c r="C101" s="534"/>
      <c r="D101" s="535"/>
      <c r="E101" s="535"/>
      <c r="F101" s="535"/>
      <c r="G101" s="565">
        <v>3034</v>
      </c>
    </row>
    <row r="102" spans="1:7" ht="12.75" customHeight="1" x14ac:dyDescent="0.2">
      <c r="A102" s="428"/>
      <c r="B102" s="564" t="s">
        <v>485</v>
      </c>
      <c r="C102" s="534"/>
      <c r="D102" s="535"/>
      <c r="E102" s="535"/>
      <c r="F102" s="535"/>
      <c r="G102" s="565" t="s">
        <v>512</v>
      </c>
    </row>
    <row r="103" spans="1:7" ht="12.75" customHeight="1" x14ac:dyDescent="0.2">
      <c r="A103" s="428"/>
      <c r="B103" s="564" t="s">
        <v>486</v>
      </c>
      <c r="C103" s="534"/>
      <c r="D103" s="535"/>
      <c r="E103" s="535"/>
      <c r="F103" s="535"/>
      <c r="G103" s="565" t="s">
        <v>513</v>
      </c>
    </row>
    <row r="104" spans="1:7" ht="12.75" customHeight="1" x14ac:dyDescent="0.2">
      <c r="A104" s="428"/>
      <c r="B104" s="564" t="s">
        <v>487</v>
      </c>
      <c r="C104" s="534"/>
      <c r="D104" s="535"/>
      <c r="E104" s="535"/>
      <c r="F104" s="535"/>
      <c r="G104" s="565" t="s">
        <v>514</v>
      </c>
    </row>
    <row r="105" spans="1:7" ht="12.75" customHeight="1" x14ac:dyDescent="0.2">
      <c r="A105" s="428"/>
      <c r="B105" s="564" t="s">
        <v>488</v>
      </c>
      <c r="C105" s="534"/>
      <c r="D105" s="535"/>
      <c r="E105" s="535"/>
      <c r="F105" s="535"/>
      <c r="G105" s="565" t="s">
        <v>515</v>
      </c>
    </row>
    <row r="106" spans="1:7" ht="12.75" customHeight="1" x14ac:dyDescent="0.2">
      <c r="A106" s="428"/>
      <c r="B106" s="564" t="s">
        <v>489</v>
      </c>
      <c r="C106" s="534"/>
      <c r="D106" s="535"/>
      <c r="E106" s="535"/>
      <c r="F106" s="535"/>
      <c r="G106" s="565" t="s">
        <v>516</v>
      </c>
    </row>
    <row r="107" spans="1:7" ht="12.75" customHeight="1" x14ac:dyDescent="0.2">
      <c r="A107" s="428"/>
      <c r="B107" s="564" t="s">
        <v>490</v>
      </c>
      <c r="C107" s="534"/>
      <c r="D107" s="535"/>
      <c r="E107" s="535"/>
      <c r="F107" s="535"/>
      <c r="G107" s="565" t="s">
        <v>517</v>
      </c>
    </row>
    <row r="108" spans="1:7" ht="12.75" customHeight="1" x14ac:dyDescent="0.2">
      <c r="A108" s="428"/>
      <c r="B108" s="564" t="s">
        <v>491</v>
      </c>
      <c r="C108" s="534"/>
      <c r="D108" s="535"/>
      <c r="E108" s="535"/>
      <c r="F108" s="535"/>
      <c r="G108" s="565" t="s">
        <v>518</v>
      </c>
    </row>
    <row r="109" spans="1:7" ht="12.75" customHeight="1" x14ac:dyDescent="0.2">
      <c r="A109" s="428"/>
      <c r="B109" s="564" t="s">
        <v>492</v>
      </c>
      <c r="C109" s="534"/>
      <c r="D109" s="535"/>
      <c r="E109" s="535"/>
      <c r="F109" s="535"/>
      <c r="G109" s="565" t="s">
        <v>519</v>
      </c>
    </row>
    <row r="110" spans="1:7" ht="12.75" customHeight="1" x14ac:dyDescent="0.2">
      <c r="A110" s="428"/>
      <c r="B110" s="564" t="s">
        <v>493</v>
      </c>
      <c r="C110" s="534"/>
      <c r="D110" s="535"/>
      <c r="E110" s="535"/>
      <c r="F110" s="535"/>
      <c r="G110" s="565" t="s">
        <v>520</v>
      </c>
    </row>
    <row r="111" spans="1:7" ht="12.75" customHeight="1" x14ac:dyDescent="0.2">
      <c r="A111" s="428"/>
      <c r="B111" s="564" t="s">
        <v>535</v>
      </c>
      <c r="C111" s="534"/>
      <c r="D111" s="535"/>
      <c r="E111" s="535"/>
      <c r="F111" s="535"/>
      <c r="G111" s="565">
        <v>3048</v>
      </c>
    </row>
    <row r="112" spans="1:7" ht="12.75" customHeight="1" x14ac:dyDescent="0.2">
      <c r="A112" s="428"/>
      <c r="B112" s="564" t="s">
        <v>494</v>
      </c>
      <c r="C112" s="534"/>
      <c r="D112" s="535"/>
      <c r="E112" s="535"/>
      <c r="F112" s="535"/>
      <c r="G112" s="565" t="s">
        <v>521</v>
      </c>
    </row>
    <row r="113" spans="1:8" ht="12.75" customHeight="1" x14ac:dyDescent="0.2">
      <c r="A113" s="428"/>
      <c r="B113" s="564" t="s">
        <v>495</v>
      </c>
      <c r="C113" s="534"/>
      <c r="D113" s="535"/>
      <c r="E113" s="535"/>
      <c r="F113" s="535"/>
      <c r="G113" s="565" t="s">
        <v>522</v>
      </c>
    </row>
    <row r="114" spans="1:8" ht="12.75" customHeight="1" x14ac:dyDescent="0.2">
      <c r="A114" s="428"/>
      <c r="B114" s="564" t="s">
        <v>538</v>
      </c>
      <c r="C114" s="534"/>
      <c r="D114" s="535"/>
      <c r="E114" s="535"/>
      <c r="F114" s="535"/>
      <c r="G114" s="565">
        <v>3051</v>
      </c>
    </row>
    <row r="115" spans="1:8" ht="12.75" customHeight="1" x14ac:dyDescent="0.2">
      <c r="A115" s="428"/>
      <c r="B115" s="564" t="s">
        <v>496</v>
      </c>
      <c r="C115" s="534"/>
      <c r="D115" s="535"/>
      <c r="E115" s="535"/>
      <c r="F115" s="535"/>
      <c r="G115" s="565" t="s">
        <v>523</v>
      </c>
    </row>
    <row r="116" spans="1:8" ht="12.75" customHeight="1" x14ac:dyDescent="0.2">
      <c r="A116" s="428"/>
      <c r="B116" s="564" t="s">
        <v>539</v>
      </c>
      <c r="C116" s="534"/>
      <c r="D116" s="535"/>
      <c r="E116" s="535"/>
      <c r="F116" s="535"/>
      <c r="G116" s="565">
        <v>3056</v>
      </c>
    </row>
    <row r="117" spans="1:8" ht="12.75" customHeight="1" x14ac:dyDescent="0.2">
      <c r="A117" s="428"/>
      <c r="B117" s="564" t="s">
        <v>497</v>
      </c>
      <c r="C117" s="534"/>
      <c r="D117" s="535"/>
      <c r="E117" s="535"/>
      <c r="F117" s="535"/>
      <c r="G117" s="565">
        <v>3057</v>
      </c>
    </row>
    <row r="118" spans="1:8" ht="12.75" customHeight="1" x14ac:dyDescent="0.2">
      <c r="A118" s="428"/>
      <c r="B118" s="564" t="s">
        <v>498</v>
      </c>
      <c r="C118" s="534"/>
      <c r="D118" s="535"/>
      <c r="E118" s="535"/>
      <c r="F118" s="535"/>
      <c r="G118" s="565" t="s">
        <v>525</v>
      </c>
    </row>
    <row r="119" spans="1:8" ht="12.75" customHeight="1" x14ac:dyDescent="0.2">
      <c r="A119" s="428"/>
      <c r="B119" s="564" t="s">
        <v>499</v>
      </c>
      <c r="C119" s="534"/>
      <c r="D119" s="535"/>
      <c r="E119" s="535"/>
      <c r="F119" s="535"/>
      <c r="G119" s="565" t="s">
        <v>526</v>
      </c>
    </row>
    <row r="120" spans="1:8" ht="12.75" customHeight="1" x14ac:dyDescent="0.2">
      <c r="A120" s="428"/>
      <c r="B120" s="564" t="s">
        <v>536</v>
      </c>
      <c r="C120" s="534"/>
      <c r="D120" s="535"/>
      <c r="E120" s="535"/>
      <c r="F120" s="535"/>
      <c r="G120" s="565"/>
    </row>
    <row r="121" spans="1:8" ht="12.75" customHeight="1" x14ac:dyDescent="0.2">
      <c r="A121" s="428"/>
      <c r="B121" s="564" t="s">
        <v>500</v>
      </c>
      <c r="C121" s="534"/>
      <c r="D121" s="535"/>
      <c r="E121" s="535"/>
      <c r="F121" s="535"/>
      <c r="G121" s="565" t="s">
        <v>527</v>
      </c>
    </row>
    <row r="122" spans="1:8" ht="12.75" customHeight="1" x14ac:dyDescent="0.2">
      <c r="A122" s="428"/>
      <c r="B122" s="564" t="s">
        <v>501</v>
      </c>
      <c r="C122" s="534"/>
      <c r="D122" s="535"/>
      <c r="E122" s="535"/>
      <c r="F122" s="535"/>
      <c r="G122" s="565" t="s">
        <v>528</v>
      </c>
    </row>
    <row r="123" spans="1:8" ht="12.75" customHeight="1" x14ac:dyDescent="0.2">
      <c r="A123" s="428"/>
      <c r="B123" s="564" t="s">
        <v>502</v>
      </c>
      <c r="C123" s="534"/>
      <c r="D123" s="535"/>
      <c r="E123" s="535"/>
      <c r="F123" s="535"/>
      <c r="G123" s="565" t="s">
        <v>529</v>
      </c>
      <c r="H123" s="537"/>
    </row>
    <row r="124" spans="1:8" ht="12.75" customHeight="1" x14ac:dyDescent="0.2">
      <c r="A124" s="428"/>
      <c r="B124" s="564" t="s">
        <v>540</v>
      </c>
      <c r="C124" s="534"/>
      <c r="D124" s="535"/>
      <c r="E124" s="535"/>
      <c r="F124" s="535"/>
      <c r="G124" s="565">
        <v>3073</v>
      </c>
    </row>
    <row r="125" spans="1:8" ht="12.75" customHeight="1" x14ac:dyDescent="0.2">
      <c r="A125" s="428"/>
      <c r="B125" s="564"/>
      <c r="C125" s="534"/>
      <c r="D125" s="535"/>
      <c r="E125" s="535"/>
      <c r="F125" s="535"/>
      <c r="G125" s="565"/>
      <c r="H125" s="537"/>
    </row>
    <row r="126" spans="1:8" ht="12.75" customHeight="1" x14ac:dyDescent="0.2">
      <c r="A126" s="428"/>
      <c r="B126" s="564"/>
      <c r="C126" s="534"/>
      <c r="D126" s="535"/>
      <c r="E126" s="535"/>
      <c r="F126" s="535"/>
      <c r="G126" s="572"/>
      <c r="H126" s="537"/>
    </row>
    <row r="127" spans="1:8" ht="12.75" customHeight="1" x14ac:dyDescent="0.2">
      <c r="A127" s="428"/>
      <c r="B127" s="536"/>
      <c r="C127" s="563"/>
      <c r="D127" s="535"/>
      <c r="E127" s="535"/>
      <c r="F127" s="535"/>
    </row>
    <row r="128" spans="1:8" ht="12.75" customHeight="1" x14ac:dyDescent="0.2">
      <c r="A128" s="428"/>
      <c r="B128" s="567" t="s">
        <v>252</v>
      </c>
      <c r="D128" s="535">
        <v>303725.01</v>
      </c>
      <c r="E128" s="566">
        <f>SUM(D128)</f>
        <v>303725.01</v>
      </c>
      <c r="F128" s="535"/>
      <c r="G128" s="525">
        <v>3001</v>
      </c>
      <c r="H128" s="537"/>
    </row>
    <row r="129" spans="1:8" ht="12.75" customHeight="1" x14ac:dyDescent="0.2">
      <c r="A129" s="428"/>
      <c r="B129" s="568" t="s">
        <v>377</v>
      </c>
      <c r="C129" s="539"/>
      <c r="D129" s="535"/>
      <c r="E129" s="566">
        <f>SUM(D130:D135)</f>
        <v>905893.78999999992</v>
      </c>
      <c r="F129" s="535"/>
    </row>
    <row r="130" spans="1:8" ht="12.75" customHeight="1" x14ac:dyDescent="0.2">
      <c r="A130" s="428"/>
      <c r="B130" s="536"/>
      <c r="C130" s="538" t="s">
        <v>253</v>
      </c>
      <c r="D130" s="535">
        <v>60109.94</v>
      </c>
      <c r="E130" s="535"/>
      <c r="F130" s="535"/>
      <c r="G130" s="525">
        <v>4000</v>
      </c>
    </row>
    <row r="131" spans="1:8" ht="12.75" customHeight="1" x14ac:dyDescent="0.2">
      <c r="A131" s="428"/>
      <c r="B131" s="536"/>
      <c r="C131" s="538" t="s">
        <v>254</v>
      </c>
      <c r="D131" s="535">
        <v>0</v>
      </c>
      <c r="E131" s="535"/>
      <c r="F131" s="535"/>
      <c r="G131" s="525">
        <v>4001</v>
      </c>
    </row>
    <row r="132" spans="1:8" ht="12.75" customHeight="1" x14ac:dyDescent="0.2">
      <c r="A132" s="428"/>
      <c r="B132" s="536"/>
      <c r="C132" s="538" t="s">
        <v>255</v>
      </c>
      <c r="D132" s="535">
        <v>719735.95</v>
      </c>
      <c r="E132" s="535"/>
      <c r="F132" s="535"/>
    </row>
    <row r="133" spans="1:8" ht="12.75" customHeight="1" x14ac:dyDescent="0.2">
      <c r="A133" s="428"/>
      <c r="B133" s="536"/>
      <c r="C133" s="538" t="s">
        <v>256</v>
      </c>
      <c r="D133" s="535">
        <v>3997.2</v>
      </c>
      <c r="E133" s="535"/>
      <c r="F133" s="535"/>
    </row>
    <row r="134" spans="1:8" ht="12.75" customHeight="1" x14ac:dyDescent="0.2">
      <c r="A134" s="428"/>
      <c r="B134" s="536"/>
      <c r="C134" s="539" t="s">
        <v>257</v>
      </c>
      <c r="D134" s="535">
        <v>55711.31</v>
      </c>
      <c r="E134" s="535"/>
      <c r="F134" s="535"/>
    </row>
    <row r="135" spans="1:8" ht="12.75" customHeight="1" x14ac:dyDescent="0.2">
      <c r="A135" s="428"/>
      <c r="B135" s="536"/>
      <c r="C135" s="539" t="s">
        <v>115</v>
      </c>
      <c r="D135" s="535">
        <v>66339.39</v>
      </c>
      <c r="E135" s="535"/>
      <c r="F135" s="535"/>
      <c r="G135" s="525">
        <v>4005</v>
      </c>
    </row>
    <row r="136" spans="1:8" ht="12.75" customHeight="1" x14ac:dyDescent="0.2">
      <c r="A136" s="540"/>
      <c r="B136" s="568" t="s">
        <v>702</v>
      </c>
      <c r="C136" s="539"/>
      <c r="D136" s="535">
        <v>-29324.16</v>
      </c>
      <c r="E136" s="566">
        <f>D136</f>
        <v>-29324.16</v>
      </c>
      <c r="F136" s="543"/>
    </row>
    <row r="137" spans="1:8" ht="12.75" customHeight="1" x14ac:dyDescent="0.2">
      <c r="A137" s="540"/>
      <c r="B137" s="570" t="s">
        <v>259</v>
      </c>
      <c r="D137" s="535">
        <v>0</v>
      </c>
      <c r="E137" s="569">
        <f>D137</f>
        <v>0</v>
      </c>
      <c r="F137" s="543"/>
      <c r="G137" s="525">
        <v>5000</v>
      </c>
    </row>
    <row r="138" spans="1:8" ht="12.75" customHeight="1" thickBot="1" x14ac:dyDescent="0.25">
      <c r="A138" s="544"/>
      <c r="B138" s="545"/>
      <c r="C138" s="546"/>
      <c r="D138" s="547"/>
      <c r="E138" s="548"/>
      <c r="F138" s="736">
        <f>SUM(E90:E137)</f>
        <v>2186355.1199999996</v>
      </c>
      <c r="H138" s="549">
        <f>'Sched-B1'!B6+'Sched-B2'!E54+'Sched-D1'!F138-14432649.75-715913.8</f>
        <v>-1.1641532182693481E-9</v>
      </c>
    </row>
    <row r="139" spans="1:8" ht="12.75" customHeight="1" x14ac:dyDescent="0.2">
      <c r="A139" s="530" t="s">
        <v>541</v>
      </c>
      <c r="B139" s="685" t="s">
        <v>703</v>
      </c>
      <c r="C139" s="531"/>
      <c r="D139" s="532"/>
      <c r="E139" s="533">
        <v>18893.900000000001</v>
      </c>
      <c r="F139" s="533"/>
      <c r="G139" s="525">
        <v>2000</v>
      </c>
    </row>
    <row r="140" spans="1:8" ht="12.75" customHeight="1" x14ac:dyDescent="0.2">
      <c r="A140" s="428"/>
      <c r="B140" s="562" t="s">
        <v>477</v>
      </c>
      <c r="C140" s="534"/>
      <c r="D140" s="535">
        <v>196790.07</v>
      </c>
      <c r="E140" s="566">
        <f>SUM(D140:D179)</f>
        <v>1010878.7</v>
      </c>
      <c r="F140" s="535"/>
    </row>
    <row r="141" spans="1:8" ht="12.75" customHeight="1" x14ac:dyDescent="0.2">
      <c r="A141" s="428"/>
      <c r="B141" s="564" t="s">
        <v>478</v>
      </c>
      <c r="C141" s="534"/>
      <c r="D141" s="535"/>
      <c r="E141" s="535"/>
      <c r="F141" s="535"/>
      <c r="G141" s="565" t="s">
        <v>505</v>
      </c>
    </row>
    <row r="142" spans="1:8" ht="12.75" customHeight="1" x14ac:dyDescent="0.2">
      <c r="A142" s="428"/>
      <c r="B142" s="564" t="s">
        <v>479</v>
      </c>
      <c r="C142" s="534"/>
      <c r="D142" s="535"/>
      <c r="E142" s="535"/>
      <c r="F142" s="535"/>
      <c r="G142" s="565" t="s">
        <v>506</v>
      </c>
    </row>
    <row r="143" spans="1:8" ht="12.75" customHeight="1" x14ac:dyDescent="0.2">
      <c r="A143" s="428"/>
      <c r="B143" s="564" t="s">
        <v>537</v>
      </c>
      <c r="C143" s="534"/>
      <c r="D143" s="535"/>
      <c r="E143" s="535"/>
      <c r="F143" s="535"/>
      <c r="G143" s="565">
        <v>3003</v>
      </c>
    </row>
    <row r="144" spans="1:8" ht="12.75" customHeight="1" x14ac:dyDescent="0.2">
      <c r="A144" s="428"/>
      <c r="B144" s="564" t="s">
        <v>480</v>
      </c>
      <c r="C144" s="534"/>
      <c r="D144" s="535"/>
      <c r="E144" s="535"/>
      <c r="F144" s="535"/>
      <c r="G144" s="565" t="s">
        <v>507</v>
      </c>
    </row>
    <row r="145" spans="1:7" ht="12.75" customHeight="1" x14ac:dyDescent="0.2">
      <c r="A145" s="428"/>
      <c r="B145" s="564" t="s">
        <v>481</v>
      </c>
      <c r="C145" s="534"/>
      <c r="D145" s="535"/>
      <c r="E145" s="535"/>
      <c r="F145" s="535"/>
      <c r="G145" s="565" t="s">
        <v>508</v>
      </c>
    </row>
    <row r="146" spans="1:7" ht="12.75" customHeight="1" x14ac:dyDescent="0.2">
      <c r="A146" s="428"/>
      <c r="B146" s="564" t="s">
        <v>482</v>
      </c>
      <c r="C146" s="534"/>
      <c r="D146" s="535"/>
      <c r="E146" s="535"/>
      <c r="F146" s="535"/>
      <c r="G146" s="565" t="s">
        <v>509</v>
      </c>
    </row>
    <row r="147" spans="1:7" ht="12.75" customHeight="1" x14ac:dyDescent="0.2">
      <c r="A147" s="428"/>
      <c r="B147" s="573" t="s">
        <v>50</v>
      </c>
      <c r="C147" s="534"/>
      <c r="D147" s="535">
        <v>814088.63</v>
      </c>
      <c r="E147" s="535"/>
      <c r="F147" s="535"/>
      <c r="G147" s="565"/>
    </row>
    <row r="148" spans="1:7" ht="12.75" customHeight="1" x14ac:dyDescent="0.2">
      <c r="A148" s="428"/>
      <c r="B148" s="564" t="s">
        <v>542</v>
      </c>
      <c r="C148" s="534"/>
      <c r="D148" s="535"/>
      <c r="E148" s="535"/>
      <c r="F148" s="535"/>
      <c r="G148" s="565">
        <v>3029</v>
      </c>
    </row>
    <row r="149" spans="1:7" ht="12.75" customHeight="1" x14ac:dyDescent="0.2">
      <c r="A149" s="428"/>
      <c r="B149" s="564" t="s">
        <v>483</v>
      </c>
      <c r="C149" s="534"/>
      <c r="D149" s="535"/>
      <c r="E149" s="535"/>
      <c r="F149" s="535"/>
      <c r="G149" s="565" t="s">
        <v>510</v>
      </c>
    </row>
    <row r="150" spans="1:7" ht="12.75" customHeight="1" x14ac:dyDescent="0.2">
      <c r="A150" s="428"/>
      <c r="B150" s="564" t="s">
        <v>484</v>
      </c>
      <c r="C150" s="534"/>
      <c r="D150" s="535"/>
      <c r="E150" s="535"/>
      <c r="F150" s="535"/>
      <c r="G150" s="565" t="s">
        <v>511</v>
      </c>
    </row>
    <row r="151" spans="1:7" ht="12.75" customHeight="1" x14ac:dyDescent="0.2">
      <c r="A151" s="428"/>
      <c r="B151" s="564" t="s">
        <v>534</v>
      </c>
      <c r="C151" s="534"/>
      <c r="D151" s="535"/>
      <c r="E151" s="535"/>
      <c r="F151" s="535"/>
      <c r="G151" s="565">
        <v>3034</v>
      </c>
    </row>
    <row r="152" spans="1:7" ht="12.75" customHeight="1" x14ac:dyDescent="0.2">
      <c r="A152" s="428"/>
      <c r="B152" s="564" t="s">
        <v>485</v>
      </c>
      <c r="C152" s="534"/>
      <c r="D152" s="535"/>
      <c r="E152" s="535"/>
      <c r="F152" s="535"/>
      <c r="G152" s="565" t="s">
        <v>512</v>
      </c>
    </row>
    <row r="153" spans="1:7" ht="12.75" customHeight="1" x14ac:dyDescent="0.2">
      <c r="A153" s="428"/>
      <c r="B153" s="564" t="s">
        <v>486</v>
      </c>
      <c r="C153" s="534"/>
      <c r="D153" s="535"/>
      <c r="E153" s="535"/>
      <c r="F153" s="535"/>
      <c r="G153" s="565" t="s">
        <v>513</v>
      </c>
    </row>
    <row r="154" spans="1:7" ht="12.75" customHeight="1" x14ac:dyDescent="0.2">
      <c r="A154" s="428"/>
      <c r="B154" s="564" t="s">
        <v>487</v>
      </c>
      <c r="C154" s="534"/>
      <c r="D154" s="535"/>
      <c r="E154" s="535"/>
      <c r="F154" s="535"/>
      <c r="G154" s="565" t="s">
        <v>514</v>
      </c>
    </row>
    <row r="155" spans="1:7" ht="12.75" customHeight="1" x14ac:dyDescent="0.2">
      <c r="A155" s="428"/>
      <c r="B155" s="564" t="s">
        <v>488</v>
      </c>
      <c r="C155" s="534"/>
      <c r="D155" s="535"/>
      <c r="E155" s="535"/>
      <c r="F155" s="535"/>
      <c r="G155" s="565" t="s">
        <v>515</v>
      </c>
    </row>
    <row r="156" spans="1:7" ht="12.75" customHeight="1" x14ac:dyDescent="0.2">
      <c r="A156" s="428"/>
      <c r="B156" s="564" t="s">
        <v>489</v>
      </c>
      <c r="C156" s="534"/>
      <c r="D156" s="535"/>
      <c r="E156" s="535"/>
      <c r="F156" s="535"/>
      <c r="G156" s="565" t="s">
        <v>516</v>
      </c>
    </row>
    <row r="157" spans="1:7" ht="12.75" customHeight="1" x14ac:dyDescent="0.2">
      <c r="A157" s="428"/>
      <c r="B157" s="564" t="s">
        <v>490</v>
      </c>
      <c r="C157" s="534"/>
      <c r="D157" s="535"/>
      <c r="E157" s="535"/>
      <c r="F157" s="535"/>
      <c r="G157" s="565" t="s">
        <v>517</v>
      </c>
    </row>
    <row r="158" spans="1:7" ht="12.75" customHeight="1" x14ac:dyDescent="0.2">
      <c r="A158" s="428"/>
      <c r="B158" s="564" t="s">
        <v>491</v>
      </c>
      <c r="C158" s="534"/>
      <c r="D158" s="535"/>
      <c r="E158" s="535"/>
      <c r="F158" s="535"/>
      <c r="G158" s="565" t="s">
        <v>518</v>
      </c>
    </row>
    <row r="159" spans="1:7" ht="12.75" customHeight="1" x14ac:dyDescent="0.2">
      <c r="A159" s="428"/>
      <c r="B159" s="564" t="s">
        <v>492</v>
      </c>
      <c r="C159" s="534"/>
      <c r="D159" s="535"/>
      <c r="E159" s="535"/>
      <c r="F159" s="535"/>
      <c r="G159" s="565" t="s">
        <v>519</v>
      </c>
    </row>
    <row r="160" spans="1:7" ht="12.75" customHeight="1" x14ac:dyDescent="0.2">
      <c r="A160" s="428"/>
      <c r="B160" s="564" t="s">
        <v>493</v>
      </c>
      <c r="C160" s="534"/>
      <c r="D160" s="535"/>
      <c r="E160" s="535"/>
      <c r="F160" s="535"/>
      <c r="G160" s="565" t="s">
        <v>520</v>
      </c>
    </row>
    <row r="161" spans="1:8" ht="12.75" customHeight="1" x14ac:dyDescent="0.2">
      <c r="A161" s="428"/>
      <c r="B161" s="564" t="s">
        <v>535</v>
      </c>
      <c r="C161" s="534"/>
      <c r="D161" s="535"/>
      <c r="E161" s="535"/>
      <c r="F161" s="535"/>
      <c r="G161" s="565">
        <v>3048</v>
      </c>
    </row>
    <row r="162" spans="1:8" ht="12.75" customHeight="1" x14ac:dyDescent="0.2">
      <c r="A162" s="428"/>
      <c r="B162" s="564" t="s">
        <v>494</v>
      </c>
      <c r="C162" s="534"/>
      <c r="D162" s="535"/>
      <c r="E162" s="535"/>
      <c r="F162" s="535"/>
      <c r="G162" s="565" t="s">
        <v>521</v>
      </c>
    </row>
    <row r="163" spans="1:8" ht="12.75" customHeight="1" x14ac:dyDescent="0.2">
      <c r="A163" s="428"/>
      <c r="B163" s="564" t="s">
        <v>495</v>
      </c>
      <c r="C163" s="534"/>
      <c r="D163" s="535"/>
      <c r="E163" s="535"/>
      <c r="F163" s="535"/>
      <c r="G163" s="565" t="s">
        <v>522</v>
      </c>
    </row>
    <row r="164" spans="1:8" ht="12.75" customHeight="1" x14ac:dyDescent="0.2">
      <c r="A164" s="428"/>
      <c r="B164" s="564" t="s">
        <v>538</v>
      </c>
      <c r="C164" s="534"/>
      <c r="D164" s="535"/>
      <c r="E164" s="535"/>
      <c r="F164" s="535"/>
      <c r="G164" s="565">
        <v>3051</v>
      </c>
    </row>
    <row r="165" spans="1:8" ht="12.75" customHeight="1" x14ac:dyDescent="0.2">
      <c r="A165" s="428"/>
      <c r="B165" s="564" t="s">
        <v>496</v>
      </c>
      <c r="C165" s="534"/>
      <c r="D165" s="535"/>
      <c r="E165" s="535"/>
      <c r="F165" s="535"/>
      <c r="G165" s="565" t="s">
        <v>523</v>
      </c>
    </row>
    <row r="166" spans="1:8" ht="12.75" customHeight="1" x14ac:dyDescent="0.2">
      <c r="A166" s="428"/>
      <c r="B166" s="564" t="s">
        <v>539</v>
      </c>
      <c r="C166" s="534"/>
      <c r="D166" s="535"/>
      <c r="E166" s="535"/>
      <c r="F166" s="535"/>
      <c r="G166" s="565">
        <v>3056</v>
      </c>
    </row>
    <row r="167" spans="1:8" ht="12.75" customHeight="1" x14ac:dyDescent="0.2">
      <c r="A167" s="428"/>
      <c r="B167" s="564" t="s">
        <v>497</v>
      </c>
      <c r="C167" s="534"/>
      <c r="D167" s="535"/>
      <c r="E167" s="535"/>
      <c r="F167" s="535"/>
      <c r="G167" s="565">
        <v>3057</v>
      </c>
    </row>
    <row r="168" spans="1:8" ht="12.75" customHeight="1" x14ac:dyDescent="0.2">
      <c r="A168" s="428"/>
      <c r="B168" s="564" t="s">
        <v>498</v>
      </c>
      <c r="C168" s="534"/>
      <c r="D168" s="535"/>
      <c r="E168" s="535"/>
      <c r="F168" s="535"/>
      <c r="G168" s="565" t="s">
        <v>525</v>
      </c>
    </row>
    <row r="169" spans="1:8" ht="12.75" customHeight="1" x14ac:dyDescent="0.2">
      <c r="A169" s="428"/>
      <c r="B169" s="564" t="s">
        <v>499</v>
      </c>
      <c r="C169" s="534"/>
      <c r="D169" s="535"/>
      <c r="E169" s="535"/>
      <c r="F169" s="535"/>
      <c r="G169" s="565" t="s">
        <v>526</v>
      </c>
    </row>
    <row r="170" spans="1:8" ht="12.75" customHeight="1" x14ac:dyDescent="0.2">
      <c r="A170" s="428"/>
      <c r="B170" s="564" t="s">
        <v>536</v>
      </c>
      <c r="C170" s="534"/>
      <c r="D170" s="535"/>
      <c r="E170" s="535"/>
      <c r="F170" s="535"/>
      <c r="G170" s="565"/>
    </row>
    <row r="171" spans="1:8" ht="12.75" customHeight="1" x14ac:dyDescent="0.2">
      <c r="A171" s="428"/>
      <c r="B171" s="564" t="s">
        <v>500</v>
      </c>
      <c r="C171" s="534"/>
      <c r="D171" s="535"/>
      <c r="E171" s="535"/>
      <c r="F171" s="535"/>
      <c r="G171" s="565" t="s">
        <v>527</v>
      </c>
    </row>
    <row r="172" spans="1:8" ht="12.75" customHeight="1" x14ac:dyDescent="0.2">
      <c r="A172" s="428"/>
      <c r="B172" s="564" t="s">
        <v>501</v>
      </c>
      <c r="C172" s="534"/>
      <c r="D172" s="535"/>
      <c r="E172" s="535"/>
      <c r="F172" s="535"/>
      <c r="G172" s="565" t="s">
        <v>528</v>
      </c>
    </row>
    <row r="173" spans="1:8" ht="12.75" customHeight="1" x14ac:dyDescent="0.2">
      <c r="A173" s="428"/>
      <c r="B173" s="564" t="s">
        <v>502</v>
      </c>
      <c r="C173" s="534"/>
      <c r="D173" s="535"/>
      <c r="E173" s="535"/>
      <c r="F173" s="535"/>
      <c r="G173" s="565" t="s">
        <v>529</v>
      </c>
      <c r="H173" s="537"/>
    </row>
    <row r="174" spans="1:8" ht="12.75" customHeight="1" x14ac:dyDescent="0.2">
      <c r="A174" s="428"/>
      <c r="B174" s="564" t="s">
        <v>503</v>
      </c>
      <c r="C174" s="534"/>
      <c r="D174" s="535"/>
      <c r="E174" s="535"/>
      <c r="F174" s="535"/>
      <c r="G174" s="565">
        <v>3068</v>
      </c>
      <c r="H174" s="537"/>
    </row>
    <row r="175" spans="1:8" ht="12.75" customHeight="1" x14ac:dyDescent="0.2">
      <c r="A175" s="428"/>
      <c r="B175" s="564" t="s">
        <v>504</v>
      </c>
      <c r="C175" s="534"/>
      <c r="D175" s="535"/>
      <c r="E175" s="535"/>
      <c r="F175" s="535"/>
      <c r="G175" s="565">
        <v>3069</v>
      </c>
      <c r="H175" s="537"/>
    </row>
    <row r="176" spans="1:8" ht="12.75" customHeight="1" x14ac:dyDescent="0.2">
      <c r="A176" s="428"/>
      <c r="B176" s="564" t="s">
        <v>540</v>
      </c>
      <c r="C176" s="534"/>
      <c r="D176" s="535"/>
      <c r="E176" s="535"/>
      <c r="F176" s="535"/>
      <c r="G176" s="565">
        <v>3073</v>
      </c>
    </row>
    <row r="177" spans="1:8" ht="12.75" customHeight="1" x14ac:dyDescent="0.2">
      <c r="A177" s="428"/>
      <c r="B177" s="564"/>
      <c r="C177" s="534"/>
      <c r="D177" s="535"/>
      <c r="E177" s="535"/>
      <c r="F177" s="535"/>
      <c r="G177" s="565"/>
      <c r="H177" s="537"/>
    </row>
    <row r="178" spans="1:8" ht="12.75" customHeight="1" x14ac:dyDescent="0.2">
      <c r="A178" s="428"/>
      <c r="B178" s="564"/>
      <c r="C178" s="534"/>
      <c r="D178" s="535"/>
      <c r="E178" s="535"/>
      <c r="F178" s="535"/>
      <c r="G178" s="572"/>
      <c r="H178" s="537"/>
    </row>
    <row r="179" spans="1:8" ht="12.75" customHeight="1" x14ac:dyDescent="0.2">
      <c r="A179" s="428"/>
      <c r="B179" s="536"/>
      <c r="C179" s="563"/>
      <c r="D179" s="535"/>
      <c r="E179" s="535"/>
      <c r="F179" s="535"/>
    </row>
    <row r="180" spans="1:8" ht="12.75" customHeight="1" x14ac:dyDescent="0.2">
      <c r="A180" s="428"/>
      <c r="B180" s="567" t="s">
        <v>252</v>
      </c>
      <c r="D180" s="535">
        <v>307500.82</v>
      </c>
      <c r="E180" s="566">
        <f>SUM(D180)</f>
        <v>307500.82</v>
      </c>
      <c r="F180" s="535"/>
      <c r="G180" s="525">
        <v>3001</v>
      </c>
      <c r="H180" s="537"/>
    </row>
    <row r="181" spans="1:8" ht="12.75" customHeight="1" x14ac:dyDescent="0.2">
      <c r="A181" s="428"/>
      <c r="B181" s="568" t="s">
        <v>377</v>
      </c>
      <c r="C181" s="539"/>
      <c r="D181" s="535"/>
      <c r="E181" s="566">
        <f>SUM(D182:D187)</f>
        <v>1023251.87</v>
      </c>
      <c r="F181" s="535"/>
    </row>
    <row r="182" spans="1:8" ht="12.75" customHeight="1" x14ac:dyDescent="0.2">
      <c r="A182" s="428"/>
      <c r="B182" s="536"/>
      <c r="C182" s="538" t="s">
        <v>253</v>
      </c>
      <c r="D182" s="535">
        <v>64340.9</v>
      </c>
      <c r="E182" s="535"/>
      <c r="F182" s="535"/>
      <c r="G182" s="525">
        <v>4000</v>
      </c>
    </row>
    <row r="183" spans="1:8" ht="12.75" customHeight="1" x14ac:dyDescent="0.2">
      <c r="A183" s="428"/>
      <c r="B183" s="536"/>
      <c r="C183" s="538" t="s">
        <v>254</v>
      </c>
      <c r="D183" s="535">
        <v>0</v>
      </c>
      <c r="E183" s="535"/>
      <c r="F183" s="535"/>
      <c r="G183" s="525">
        <v>4001</v>
      </c>
    </row>
    <row r="184" spans="1:8" ht="12.75" customHeight="1" x14ac:dyDescent="0.2">
      <c r="A184" s="428"/>
      <c r="B184" s="536"/>
      <c r="C184" s="538" t="s">
        <v>255</v>
      </c>
      <c r="D184" s="535">
        <v>774631.29</v>
      </c>
      <c r="E184" s="535"/>
      <c r="F184" s="535"/>
    </row>
    <row r="185" spans="1:8" ht="12.75" customHeight="1" x14ac:dyDescent="0.2">
      <c r="A185" s="428"/>
      <c r="B185" s="536"/>
      <c r="C185" s="538" t="s">
        <v>256</v>
      </c>
      <c r="D185" s="535">
        <v>1920</v>
      </c>
      <c r="E185" s="535"/>
      <c r="F185" s="535"/>
    </row>
    <row r="186" spans="1:8" ht="12.75" customHeight="1" x14ac:dyDescent="0.2">
      <c r="A186" s="428"/>
      <c r="B186" s="536"/>
      <c r="C186" s="539" t="s">
        <v>257</v>
      </c>
      <c r="D186" s="535">
        <v>94032.56</v>
      </c>
      <c r="E186" s="535"/>
      <c r="F186" s="535"/>
    </row>
    <row r="187" spans="1:8" ht="12.75" customHeight="1" x14ac:dyDescent="0.2">
      <c r="A187" s="428"/>
      <c r="B187" s="536"/>
      <c r="C187" s="539" t="s">
        <v>115</v>
      </c>
      <c r="D187" s="535">
        <v>88327.12</v>
      </c>
      <c r="E187" s="535"/>
      <c r="F187" s="535"/>
    </row>
    <row r="188" spans="1:8" ht="12.75" customHeight="1" x14ac:dyDescent="0.2">
      <c r="A188" s="540"/>
      <c r="B188" s="568" t="s">
        <v>702</v>
      </c>
      <c r="C188" s="539"/>
      <c r="D188" s="535">
        <v>-28297.83</v>
      </c>
      <c r="E188" s="566">
        <f>D188</f>
        <v>-28297.83</v>
      </c>
      <c r="F188" s="543"/>
    </row>
    <row r="189" spans="1:8" ht="12.75" customHeight="1" x14ac:dyDescent="0.2">
      <c r="A189" s="540"/>
      <c r="B189" s="570" t="s">
        <v>259</v>
      </c>
      <c r="D189" s="535">
        <v>0</v>
      </c>
      <c r="E189" s="569">
        <f>D189</f>
        <v>0</v>
      </c>
      <c r="F189" s="543"/>
      <c r="G189" s="525">
        <v>5000</v>
      </c>
    </row>
    <row r="190" spans="1:8" ht="12.75" customHeight="1" thickBot="1" x14ac:dyDescent="0.25">
      <c r="A190" s="544"/>
      <c r="B190" s="545"/>
      <c r="C190" s="546"/>
      <c r="D190" s="547"/>
      <c r="E190" s="548"/>
      <c r="F190" s="736">
        <f>SUM(E139:E189)</f>
        <v>2332227.46</v>
      </c>
      <c r="H190" s="549">
        <f>'Sched-B1'!B7+'Sched-B2'!E71+'Sched-D1'!F190-13654047.74-814088.63</f>
        <v>0</v>
      </c>
    </row>
    <row r="191" spans="1:8" ht="12.75" customHeight="1" x14ac:dyDescent="0.2">
      <c r="A191" s="530" t="s">
        <v>543</v>
      </c>
      <c r="B191" s="685" t="s">
        <v>703</v>
      </c>
      <c r="C191" s="531"/>
      <c r="D191" s="532"/>
      <c r="E191" s="654">
        <f>1503.03+5954.23-1120</f>
        <v>6337.2599999999993</v>
      </c>
      <c r="F191" s="533"/>
      <c r="G191" s="565" t="s">
        <v>705</v>
      </c>
    </row>
    <row r="192" spans="1:8" ht="12.75" customHeight="1" x14ac:dyDescent="0.2">
      <c r="A192" s="428"/>
      <c r="B192" s="562" t="s">
        <v>477</v>
      </c>
      <c r="C192" s="534"/>
      <c r="D192" s="535">
        <v>4582487.04</v>
      </c>
      <c r="E192" s="566">
        <f>SUM(D192:D231)</f>
        <v>8131849.21</v>
      </c>
      <c r="F192" s="535"/>
      <c r="H192" s="537">
        <f>E192+H193</f>
        <v>8131849.21</v>
      </c>
    </row>
    <row r="193" spans="1:9" ht="12.75" customHeight="1" x14ac:dyDescent="0.2">
      <c r="A193" s="428"/>
      <c r="B193" s="573" t="s">
        <v>745</v>
      </c>
      <c r="C193" s="534"/>
      <c r="D193" s="535">
        <v>0</v>
      </c>
      <c r="E193" s="566"/>
      <c r="F193" s="535"/>
      <c r="H193" s="619">
        <v>0</v>
      </c>
      <c r="I193" s="525" t="s">
        <v>765</v>
      </c>
    </row>
    <row r="194" spans="1:9" ht="12.75" customHeight="1" x14ac:dyDescent="0.2">
      <c r="A194" s="428"/>
      <c r="B194" s="564" t="s">
        <v>478</v>
      </c>
      <c r="C194" s="534"/>
      <c r="D194" s="535"/>
      <c r="E194" s="535"/>
      <c r="F194" s="535"/>
      <c r="G194" s="565" t="s">
        <v>505</v>
      </c>
    </row>
    <row r="195" spans="1:9" ht="12.75" customHeight="1" x14ac:dyDescent="0.2">
      <c r="A195" s="428"/>
      <c r="B195" s="564" t="s">
        <v>479</v>
      </c>
      <c r="C195" s="534"/>
      <c r="D195" s="535"/>
      <c r="E195" s="535"/>
      <c r="F195" s="535"/>
      <c r="G195" s="565" t="s">
        <v>506</v>
      </c>
    </row>
    <row r="196" spans="1:9" ht="12.75" customHeight="1" x14ac:dyDescent="0.2">
      <c r="A196" s="428"/>
      <c r="B196" s="564" t="s">
        <v>537</v>
      </c>
      <c r="C196" s="534"/>
      <c r="D196" s="535"/>
      <c r="E196" s="535"/>
      <c r="F196" s="535"/>
      <c r="G196" s="565">
        <v>3003</v>
      </c>
    </row>
    <row r="197" spans="1:9" ht="12.75" customHeight="1" x14ac:dyDescent="0.2">
      <c r="A197" s="428"/>
      <c r="B197" s="564" t="s">
        <v>480</v>
      </c>
      <c r="C197" s="534"/>
      <c r="D197" s="535"/>
      <c r="E197" s="535"/>
      <c r="F197" s="535"/>
      <c r="G197" s="565" t="s">
        <v>507</v>
      </c>
    </row>
    <row r="198" spans="1:9" ht="12.75" customHeight="1" x14ac:dyDescent="0.2">
      <c r="A198" s="428"/>
      <c r="B198" s="564" t="s">
        <v>481</v>
      </c>
      <c r="C198" s="534"/>
      <c r="D198" s="535"/>
      <c r="E198" s="535"/>
      <c r="F198" s="535"/>
      <c r="G198" s="565" t="s">
        <v>508</v>
      </c>
    </row>
    <row r="199" spans="1:9" ht="12.75" customHeight="1" x14ac:dyDescent="0.2">
      <c r="A199" s="428"/>
      <c r="B199" s="564" t="s">
        <v>482</v>
      </c>
      <c r="C199" s="534"/>
      <c r="D199" s="535"/>
      <c r="E199" s="535"/>
      <c r="F199" s="535"/>
      <c r="G199" s="565" t="s">
        <v>509</v>
      </c>
    </row>
    <row r="200" spans="1:9" ht="12.75" customHeight="1" x14ac:dyDescent="0.2">
      <c r="A200" s="428"/>
      <c r="B200" s="573" t="s">
        <v>50</v>
      </c>
      <c r="C200" s="534"/>
      <c r="D200" s="535">
        <v>3549362.17</v>
      </c>
      <c r="E200" s="535"/>
      <c r="F200" s="535"/>
      <c r="G200" s="565"/>
    </row>
    <row r="201" spans="1:9" ht="12.75" customHeight="1" x14ac:dyDescent="0.2">
      <c r="A201" s="428"/>
      <c r="B201" s="564" t="s">
        <v>542</v>
      </c>
      <c r="C201" s="534"/>
      <c r="D201" s="535"/>
      <c r="E201" s="535"/>
      <c r="F201" s="535"/>
      <c r="G201" s="565">
        <v>3029</v>
      </c>
    </row>
    <row r="202" spans="1:9" ht="12.75" customHeight="1" x14ac:dyDescent="0.2">
      <c r="A202" s="428"/>
      <c r="B202" s="564" t="s">
        <v>483</v>
      </c>
      <c r="C202" s="534"/>
      <c r="D202" s="535"/>
      <c r="E202" s="535"/>
      <c r="F202" s="535"/>
      <c r="G202" s="565" t="s">
        <v>510</v>
      </c>
    </row>
    <row r="203" spans="1:9" ht="12.75" customHeight="1" x14ac:dyDescent="0.2">
      <c r="A203" s="428"/>
      <c r="B203" s="564" t="s">
        <v>484</v>
      </c>
      <c r="C203" s="534"/>
      <c r="D203" s="535"/>
      <c r="E203" s="535"/>
      <c r="F203" s="535"/>
      <c r="G203" s="565" t="s">
        <v>511</v>
      </c>
    </row>
    <row r="204" spans="1:9" ht="12.75" customHeight="1" x14ac:dyDescent="0.2">
      <c r="A204" s="428"/>
      <c r="B204" s="564" t="s">
        <v>534</v>
      </c>
      <c r="C204" s="534"/>
      <c r="D204" s="535"/>
      <c r="E204" s="535"/>
      <c r="F204" s="535"/>
      <c r="G204" s="565">
        <v>3034</v>
      </c>
    </row>
    <row r="205" spans="1:9" ht="12.75" customHeight="1" x14ac:dyDescent="0.2">
      <c r="A205" s="428"/>
      <c r="B205" s="564" t="s">
        <v>485</v>
      </c>
      <c r="C205" s="534"/>
      <c r="D205" s="535"/>
      <c r="E205" s="535"/>
      <c r="F205" s="535"/>
      <c r="G205" s="565" t="s">
        <v>512</v>
      </c>
    </row>
    <row r="206" spans="1:9" ht="12.75" customHeight="1" x14ac:dyDescent="0.2">
      <c r="A206" s="428"/>
      <c r="B206" s="564" t="s">
        <v>486</v>
      </c>
      <c r="C206" s="534"/>
      <c r="D206" s="535"/>
      <c r="E206" s="535"/>
      <c r="F206" s="535"/>
      <c r="G206" s="565" t="s">
        <v>513</v>
      </c>
    </row>
    <row r="207" spans="1:9" ht="12.75" customHeight="1" x14ac:dyDescent="0.2">
      <c r="A207" s="428"/>
      <c r="B207" s="564" t="s">
        <v>487</v>
      </c>
      <c r="C207" s="534"/>
      <c r="D207" s="535"/>
      <c r="E207" s="535"/>
      <c r="F207" s="535"/>
      <c r="G207" s="565" t="s">
        <v>514</v>
      </c>
    </row>
    <row r="208" spans="1:9" ht="12.75" customHeight="1" x14ac:dyDescent="0.2">
      <c r="A208" s="428"/>
      <c r="B208" s="564" t="s">
        <v>488</v>
      </c>
      <c r="C208" s="534"/>
      <c r="D208" s="535"/>
      <c r="E208" s="535"/>
      <c r="F208" s="535"/>
      <c r="G208" s="565" t="s">
        <v>515</v>
      </c>
    </row>
    <row r="209" spans="1:7" ht="12.75" customHeight="1" x14ac:dyDescent="0.2">
      <c r="A209" s="428"/>
      <c r="B209" s="564" t="s">
        <v>489</v>
      </c>
      <c r="C209" s="534"/>
      <c r="D209" s="535"/>
      <c r="E209" s="535"/>
      <c r="F209" s="535"/>
      <c r="G209" s="565" t="s">
        <v>516</v>
      </c>
    </row>
    <row r="210" spans="1:7" ht="12.75" customHeight="1" x14ac:dyDescent="0.2">
      <c r="A210" s="428"/>
      <c r="B210" s="564" t="s">
        <v>490</v>
      </c>
      <c r="C210" s="534"/>
      <c r="D210" s="535"/>
      <c r="E210" s="535"/>
      <c r="F210" s="535"/>
      <c r="G210" s="565" t="s">
        <v>517</v>
      </c>
    </row>
    <row r="211" spans="1:7" ht="12.75" customHeight="1" x14ac:dyDescent="0.2">
      <c r="A211" s="428"/>
      <c r="B211" s="564" t="s">
        <v>544</v>
      </c>
      <c r="C211" s="534"/>
      <c r="D211" s="535"/>
      <c r="E211" s="535"/>
      <c r="F211" s="535"/>
      <c r="G211" s="565">
        <v>3042</v>
      </c>
    </row>
    <row r="212" spans="1:7" ht="12.75" customHeight="1" x14ac:dyDescent="0.2">
      <c r="A212" s="428"/>
      <c r="B212" s="564" t="s">
        <v>491</v>
      </c>
      <c r="C212" s="534"/>
      <c r="D212" s="535"/>
      <c r="E212" s="535"/>
      <c r="F212" s="535"/>
      <c r="G212" s="565" t="s">
        <v>518</v>
      </c>
    </row>
    <row r="213" spans="1:7" ht="12.75" customHeight="1" x14ac:dyDescent="0.2">
      <c r="A213" s="428"/>
      <c r="B213" s="564" t="s">
        <v>492</v>
      </c>
      <c r="C213" s="534"/>
      <c r="D213" s="535"/>
      <c r="E213" s="535"/>
      <c r="F213" s="535"/>
      <c r="G213" s="565" t="s">
        <v>519</v>
      </c>
    </row>
    <row r="214" spans="1:7" ht="12.75" customHeight="1" x14ac:dyDescent="0.2">
      <c r="A214" s="428"/>
      <c r="B214" s="564" t="s">
        <v>493</v>
      </c>
      <c r="C214" s="534"/>
      <c r="D214" s="535"/>
      <c r="E214" s="535"/>
      <c r="F214" s="535"/>
      <c r="G214" s="565" t="s">
        <v>520</v>
      </c>
    </row>
    <row r="215" spans="1:7" ht="12.75" customHeight="1" x14ac:dyDescent="0.2">
      <c r="A215" s="428"/>
      <c r="B215" s="564" t="s">
        <v>535</v>
      </c>
      <c r="C215" s="534"/>
      <c r="D215" s="535"/>
      <c r="E215" s="535"/>
      <c r="F215" s="535"/>
      <c r="G215" s="565">
        <v>3048</v>
      </c>
    </row>
    <row r="216" spans="1:7" ht="12.75" customHeight="1" x14ac:dyDescent="0.2">
      <c r="A216" s="428"/>
      <c r="B216" s="564" t="s">
        <v>494</v>
      </c>
      <c r="C216" s="534"/>
      <c r="D216" s="535"/>
      <c r="E216" s="535"/>
      <c r="F216" s="535"/>
      <c r="G216" s="565" t="s">
        <v>521</v>
      </c>
    </row>
    <row r="217" spans="1:7" ht="12.75" customHeight="1" x14ac:dyDescent="0.2">
      <c r="A217" s="428"/>
      <c r="B217" s="564" t="s">
        <v>495</v>
      </c>
      <c r="C217" s="534"/>
      <c r="D217" s="535"/>
      <c r="E217" s="535"/>
      <c r="F217" s="535"/>
      <c r="G217" s="565" t="s">
        <v>522</v>
      </c>
    </row>
    <row r="218" spans="1:7" ht="12.75" customHeight="1" x14ac:dyDescent="0.2">
      <c r="A218" s="428"/>
      <c r="B218" s="564" t="s">
        <v>538</v>
      </c>
      <c r="C218" s="534"/>
      <c r="D218" s="535"/>
      <c r="E218" s="535"/>
      <c r="F218" s="535"/>
      <c r="G218" s="565">
        <v>3051</v>
      </c>
    </row>
    <row r="219" spans="1:7" ht="12.75" customHeight="1" x14ac:dyDescent="0.2">
      <c r="A219" s="428"/>
      <c r="B219" s="564" t="s">
        <v>496</v>
      </c>
      <c r="C219" s="534"/>
      <c r="D219" s="535"/>
      <c r="E219" s="535"/>
      <c r="F219" s="535"/>
      <c r="G219" s="565" t="s">
        <v>523</v>
      </c>
    </row>
    <row r="220" spans="1:7" ht="12.75" customHeight="1" x14ac:dyDescent="0.2">
      <c r="A220" s="428"/>
      <c r="B220" s="564" t="s">
        <v>539</v>
      </c>
      <c r="C220" s="534"/>
      <c r="D220" s="535"/>
      <c r="E220" s="535"/>
      <c r="F220" s="535"/>
      <c r="G220" s="565">
        <v>3056</v>
      </c>
    </row>
    <row r="221" spans="1:7" ht="12.75" customHeight="1" x14ac:dyDescent="0.2">
      <c r="A221" s="428"/>
      <c r="B221" s="564" t="s">
        <v>497</v>
      </c>
      <c r="C221" s="534"/>
      <c r="D221" s="535"/>
      <c r="E221" s="535"/>
      <c r="F221" s="535"/>
      <c r="G221" s="565">
        <v>3057</v>
      </c>
    </row>
    <row r="222" spans="1:7" ht="12.75" customHeight="1" x14ac:dyDescent="0.2">
      <c r="A222" s="428"/>
      <c r="B222" s="564" t="s">
        <v>498</v>
      </c>
      <c r="C222" s="534"/>
      <c r="D222" s="535"/>
      <c r="E222" s="535"/>
      <c r="F222" s="535"/>
      <c r="G222" s="565" t="s">
        <v>525</v>
      </c>
    </row>
    <row r="223" spans="1:7" ht="12.75" customHeight="1" x14ac:dyDescent="0.2">
      <c r="A223" s="428"/>
      <c r="B223" s="564" t="s">
        <v>499</v>
      </c>
      <c r="C223" s="534"/>
      <c r="D223" s="535"/>
      <c r="E223" s="535"/>
      <c r="F223" s="535"/>
      <c r="G223" s="565" t="s">
        <v>526</v>
      </c>
    </row>
    <row r="224" spans="1:7" ht="12.75" customHeight="1" x14ac:dyDescent="0.2">
      <c r="A224" s="428"/>
      <c r="B224" s="564" t="s">
        <v>536</v>
      </c>
      <c r="C224" s="534"/>
      <c r="D224" s="535"/>
      <c r="E224" s="535"/>
      <c r="F224" s="535"/>
      <c r="G224" s="565">
        <v>3061</v>
      </c>
    </row>
    <row r="225" spans="1:8" ht="12.75" customHeight="1" x14ac:dyDescent="0.2">
      <c r="A225" s="428"/>
      <c r="B225" s="564" t="s">
        <v>545</v>
      </c>
      <c r="C225" s="534"/>
      <c r="D225" s="535"/>
      <c r="E225" s="535"/>
      <c r="F225" s="535"/>
      <c r="G225" s="565">
        <v>3063</v>
      </c>
    </row>
    <row r="226" spans="1:8" ht="12.75" customHeight="1" x14ac:dyDescent="0.2">
      <c r="A226" s="428"/>
      <c r="B226" s="564" t="s">
        <v>500</v>
      </c>
      <c r="C226" s="534"/>
      <c r="D226" s="535"/>
      <c r="E226" s="535"/>
      <c r="F226" s="535"/>
      <c r="G226" s="565" t="s">
        <v>527</v>
      </c>
    </row>
    <row r="227" spans="1:8" ht="12.75" customHeight="1" x14ac:dyDescent="0.2">
      <c r="A227" s="428"/>
      <c r="B227" s="564" t="s">
        <v>501</v>
      </c>
      <c r="C227" s="534"/>
      <c r="D227" s="535"/>
      <c r="E227" s="535"/>
      <c r="F227" s="535"/>
      <c r="G227" s="565" t="s">
        <v>528</v>
      </c>
    </row>
    <row r="228" spans="1:8" ht="12.75" customHeight="1" x14ac:dyDescent="0.2">
      <c r="A228" s="428"/>
      <c r="B228" s="564" t="s">
        <v>502</v>
      </c>
      <c r="C228" s="534"/>
      <c r="D228" s="535"/>
      <c r="E228" s="535"/>
      <c r="F228" s="535"/>
      <c r="G228" s="565" t="s">
        <v>529</v>
      </c>
      <c r="H228" s="537"/>
    </row>
    <row r="229" spans="1:8" ht="12.75" customHeight="1" x14ac:dyDescent="0.2">
      <c r="A229" s="428"/>
      <c r="B229" s="564" t="s">
        <v>503</v>
      </c>
      <c r="C229" s="534"/>
      <c r="D229" s="535"/>
      <c r="E229" s="535"/>
      <c r="F229" s="535"/>
      <c r="G229" s="565">
        <v>3068</v>
      </c>
      <c r="H229" s="537"/>
    </row>
    <row r="230" spans="1:8" ht="12.75" customHeight="1" x14ac:dyDescent="0.2">
      <c r="A230" s="428"/>
      <c r="B230" s="564" t="s">
        <v>504</v>
      </c>
      <c r="C230" s="534"/>
      <c r="D230" s="535"/>
      <c r="E230" s="535"/>
      <c r="F230" s="535"/>
      <c r="G230" s="565">
        <v>3069</v>
      </c>
      <c r="H230" s="537"/>
    </row>
    <row r="231" spans="1:8" ht="12.75" customHeight="1" x14ac:dyDescent="0.2">
      <c r="A231" s="428"/>
      <c r="B231" s="564" t="s">
        <v>540</v>
      </c>
      <c r="C231" s="534"/>
      <c r="D231" s="535">
        <v>0</v>
      </c>
      <c r="E231" s="535"/>
      <c r="F231" s="535"/>
      <c r="G231" s="565">
        <v>3073</v>
      </c>
    </row>
    <row r="232" spans="1:8" ht="12.75" customHeight="1" x14ac:dyDescent="0.2">
      <c r="A232" s="428"/>
      <c r="B232" s="567" t="s">
        <v>252</v>
      </c>
      <c r="D232" s="535">
        <v>1025285.16</v>
      </c>
      <c r="E232" s="566">
        <f>SUM(D232)</f>
        <v>1025285.16</v>
      </c>
      <c r="F232" s="535"/>
      <c r="G232" s="525">
        <v>3001</v>
      </c>
      <c r="H232" s="537"/>
    </row>
    <row r="233" spans="1:8" ht="12.75" customHeight="1" x14ac:dyDescent="0.2">
      <c r="A233" s="428"/>
      <c r="B233" s="568" t="s">
        <v>377</v>
      </c>
      <c r="C233" s="539"/>
      <c r="D233" s="535"/>
      <c r="E233" s="566">
        <f>SUM(D234:D239)</f>
        <v>3759394.2599999993</v>
      </c>
      <c r="F233" s="535"/>
    </row>
    <row r="234" spans="1:8" ht="12.75" customHeight="1" x14ac:dyDescent="0.2">
      <c r="A234" s="428"/>
      <c r="B234" s="536"/>
      <c r="C234" s="538" t="s">
        <v>253</v>
      </c>
      <c r="D234" s="535">
        <v>107278.76</v>
      </c>
      <c r="E234" s="535"/>
      <c r="F234" s="535"/>
      <c r="G234" s="525">
        <v>4000</v>
      </c>
    </row>
    <row r="235" spans="1:8" ht="12.75" customHeight="1" x14ac:dyDescent="0.2">
      <c r="A235" s="428"/>
      <c r="B235" s="536"/>
      <c r="C235" s="538" t="s">
        <v>254</v>
      </c>
      <c r="D235" s="535">
        <v>138</v>
      </c>
      <c r="E235" s="535"/>
      <c r="F235" s="535"/>
      <c r="G235" s="525">
        <v>4001</v>
      </c>
    </row>
    <row r="236" spans="1:8" ht="12.75" customHeight="1" x14ac:dyDescent="0.2">
      <c r="A236" s="428"/>
      <c r="B236" s="536"/>
      <c r="C236" s="538" t="s">
        <v>255</v>
      </c>
      <c r="D236" s="535">
        <v>3301469.6</v>
      </c>
      <c r="E236" s="535"/>
      <c r="F236" s="535"/>
    </row>
    <row r="237" spans="1:8" ht="12.75" customHeight="1" x14ac:dyDescent="0.2">
      <c r="A237" s="428"/>
      <c r="B237" s="536"/>
      <c r="C237" s="538" t="s">
        <v>256</v>
      </c>
      <c r="D237" s="535">
        <v>19892.259999999998</v>
      </c>
      <c r="E237" s="535"/>
      <c r="F237" s="535"/>
    </row>
    <row r="238" spans="1:8" ht="12.75" customHeight="1" x14ac:dyDescent="0.2">
      <c r="A238" s="428"/>
      <c r="B238" s="536"/>
      <c r="C238" s="539" t="s">
        <v>257</v>
      </c>
      <c r="D238" s="535">
        <v>120174.53</v>
      </c>
      <c r="E238" s="535"/>
      <c r="F238" s="535"/>
    </row>
    <row r="239" spans="1:8" ht="12.75" customHeight="1" x14ac:dyDescent="0.2">
      <c r="A239" s="428"/>
      <c r="B239" s="536"/>
      <c r="C239" s="539" t="s">
        <v>115</v>
      </c>
      <c r="D239" s="535">
        <v>210441.11</v>
      </c>
      <c r="E239" s="535"/>
      <c r="F239" s="535"/>
    </row>
    <row r="240" spans="1:8" ht="12.75" customHeight="1" x14ac:dyDescent="0.2">
      <c r="A240" s="540"/>
      <c r="B240" s="568" t="s">
        <v>702</v>
      </c>
      <c r="C240" s="539"/>
      <c r="D240" s="535">
        <v>-2509056.9500000002</v>
      </c>
      <c r="E240" s="566">
        <f>D240</f>
        <v>-2509056.9500000002</v>
      </c>
      <c r="F240" s="543"/>
    </row>
    <row r="241" spans="1:8" ht="12.75" customHeight="1" x14ac:dyDescent="0.2">
      <c r="A241" s="540"/>
      <c r="B241" s="570" t="s">
        <v>259</v>
      </c>
      <c r="D241" s="535">
        <v>0</v>
      </c>
      <c r="E241" s="569">
        <f>D241</f>
        <v>0</v>
      </c>
      <c r="F241" s="543"/>
      <c r="G241" s="525">
        <v>5000</v>
      </c>
    </row>
    <row r="242" spans="1:8" ht="12.75" customHeight="1" thickBot="1" x14ac:dyDescent="0.25">
      <c r="A242" s="544"/>
      <c r="B242" s="545"/>
      <c r="C242" s="546"/>
      <c r="D242" s="547"/>
      <c r="E242" s="548"/>
      <c r="F242" s="736">
        <f>SUM(E191:E241)</f>
        <v>10413808.939999998</v>
      </c>
      <c r="H242" s="549">
        <f>'Sched-B1'!B8+'Sched-B2'!E88+'Sched-D1'!F242-40721925.63-3549362.17</f>
        <v>-5.5879354476928711E-9</v>
      </c>
    </row>
    <row r="243" spans="1:8" ht="12.75" customHeight="1" x14ac:dyDescent="0.2">
      <c r="A243" s="530" t="s">
        <v>15</v>
      </c>
      <c r="B243" s="685" t="s">
        <v>703</v>
      </c>
      <c r="C243" s="531"/>
      <c r="D243" s="532"/>
      <c r="E243" s="654">
        <v>10838.47</v>
      </c>
      <c r="F243" s="533"/>
      <c r="G243" s="525">
        <v>2000</v>
      </c>
    </row>
    <row r="244" spans="1:8" ht="12.75" customHeight="1" x14ac:dyDescent="0.2">
      <c r="A244" s="428"/>
      <c r="B244" s="562" t="s">
        <v>477</v>
      </c>
      <c r="C244" s="534"/>
      <c r="D244" s="535">
        <v>69559.59</v>
      </c>
      <c r="E244" s="566">
        <f>SUM(D244:D285)</f>
        <v>254695.63999999998</v>
      </c>
      <c r="F244" s="535"/>
      <c r="H244" s="525" t="s">
        <v>809</v>
      </c>
    </row>
    <row r="245" spans="1:8" ht="12.75" customHeight="1" x14ac:dyDescent="0.2">
      <c r="A245" s="428"/>
      <c r="B245" s="564" t="s">
        <v>478</v>
      </c>
      <c r="C245" s="534"/>
      <c r="D245" s="535"/>
      <c r="E245" s="535"/>
      <c r="F245" s="535"/>
      <c r="G245" s="565" t="s">
        <v>505</v>
      </c>
    </row>
    <row r="246" spans="1:8" ht="12.75" customHeight="1" x14ac:dyDescent="0.2">
      <c r="A246" s="428"/>
      <c r="B246" s="564" t="s">
        <v>479</v>
      </c>
      <c r="C246" s="534"/>
      <c r="D246" s="535"/>
      <c r="E246" s="535"/>
      <c r="F246" s="535"/>
      <c r="G246" s="565" t="s">
        <v>506</v>
      </c>
    </row>
    <row r="247" spans="1:8" ht="12.75" customHeight="1" x14ac:dyDescent="0.2">
      <c r="A247" s="428"/>
      <c r="B247" s="564" t="s">
        <v>537</v>
      </c>
      <c r="C247" s="534"/>
      <c r="D247" s="535"/>
      <c r="E247" s="535"/>
      <c r="F247" s="535"/>
      <c r="G247" s="565">
        <v>3003</v>
      </c>
    </row>
    <row r="248" spans="1:8" ht="12.75" customHeight="1" x14ac:dyDescent="0.2">
      <c r="A248" s="428"/>
      <c r="B248" s="564" t="s">
        <v>480</v>
      </c>
      <c r="C248" s="534"/>
      <c r="D248" s="535"/>
      <c r="E248" s="535"/>
      <c r="F248" s="535"/>
      <c r="G248" s="565" t="s">
        <v>507</v>
      </c>
    </row>
    <row r="249" spans="1:8" ht="12.75" customHeight="1" x14ac:dyDescent="0.2">
      <c r="A249" s="428"/>
      <c r="B249" s="564" t="s">
        <v>548</v>
      </c>
      <c r="C249" s="534"/>
      <c r="D249" s="535"/>
      <c r="E249" s="535"/>
      <c r="F249" s="535"/>
      <c r="G249" s="565">
        <v>3014</v>
      </c>
    </row>
    <row r="250" spans="1:8" ht="12.75" customHeight="1" x14ac:dyDescent="0.2">
      <c r="A250" s="428"/>
      <c r="B250" s="564" t="s">
        <v>481</v>
      </c>
      <c r="C250" s="534"/>
      <c r="D250" s="535"/>
      <c r="E250" s="535"/>
      <c r="F250" s="535"/>
      <c r="G250" s="565" t="s">
        <v>508</v>
      </c>
    </row>
    <row r="251" spans="1:8" ht="12.75" customHeight="1" x14ac:dyDescent="0.2">
      <c r="A251" s="428"/>
      <c r="B251" s="564" t="s">
        <v>482</v>
      </c>
      <c r="C251" s="534"/>
      <c r="D251" s="535"/>
      <c r="E251" s="535"/>
      <c r="F251" s="535"/>
      <c r="G251" s="565" t="s">
        <v>509</v>
      </c>
    </row>
    <row r="252" spans="1:8" ht="12.75" customHeight="1" x14ac:dyDescent="0.2">
      <c r="A252" s="428"/>
      <c r="B252" s="573" t="s">
        <v>50</v>
      </c>
      <c r="C252" s="534"/>
      <c r="D252" s="535">
        <v>185136.05</v>
      </c>
      <c r="E252" s="535"/>
      <c r="F252" s="535"/>
      <c r="G252" s="565"/>
    </row>
    <row r="253" spans="1:8" ht="12.75" customHeight="1" x14ac:dyDescent="0.2">
      <c r="A253" s="428"/>
      <c r="B253" s="564" t="s">
        <v>542</v>
      </c>
      <c r="C253" s="534"/>
      <c r="D253" s="535"/>
      <c r="E253" s="535"/>
      <c r="F253" s="535"/>
      <c r="G253" s="565">
        <v>3029</v>
      </c>
    </row>
    <row r="254" spans="1:8" ht="12.75" customHeight="1" x14ac:dyDescent="0.2">
      <c r="A254" s="428"/>
      <c r="B254" s="564" t="s">
        <v>483</v>
      </c>
      <c r="C254" s="534"/>
      <c r="D254" s="535"/>
      <c r="E254" s="535"/>
      <c r="F254" s="535"/>
      <c r="G254" s="565" t="s">
        <v>510</v>
      </c>
    </row>
    <row r="255" spans="1:8" ht="12.75" customHeight="1" x14ac:dyDescent="0.2">
      <c r="A255" s="428"/>
      <c r="B255" s="564" t="s">
        <v>484</v>
      </c>
      <c r="C255" s="534"/>
      <c r="D255" s="535"/>
      <c r="E255" s="535"/>
      <c r="F255" s="535"/>
      <c r="G255" s="565" t="s">
        <v>511</v>
      </c>
    </row>
    <row r="256" spans="1:8" ht="12.75" customHeight="1" x14ac:dyDescent="0.2">
      <c r="A256" s="428"/>
      <c r="B256" s="564" t="s">
        <v>534</v>
      </c>
      <c r="C256" s="534"/>
      <c r="D256" s="535"/>
      <c r="E256" s="535"/>
      <c r="F256" s="535"/>
      <c r="G256" s="565">
        <v>3034</v>
      </c>
    </row>
    <row r="257" spans="1:7" ht="12.75" customHeight="1" x14ac:dyDescent="0.2">
      <c r="A257" s="428"/>
      <c r="B257" s="564" t="s">
        <v>485</v>
      </c>
      <c r="C257" s="534"/>
      <c r="D257" s="535"/>
      <c r="E257" s="535"/>
      <c r="F257" s="535"/>
      <c r="G257" s="565" t="s">
        <v>512</v>
      </c>
    </row>
    <row r="258" spans="1:7" ht="12.75" customHeight="1" x14ac:dyDescent="0.2">
      <c r="A258" s="428"/>
      <c r="B258" s="564" t="s">
        <v>486</v>
      </c>
      <c r="C258" s="534"/>
      <c r="D258" s="535"/>
      <c r="E258" s="535"/>
      <c r="F258" s="535"/>
      <c r="G258" s="565" t="s">
        <v>513</v>
      </c>
    </row>
    <row r="259" spans="1:7" ht="12.75" customHeight="1" x14ac:dyDescent="0.2">
      <c r="A259" s="428"/>
      <c r="B259" s="564" t="s">
        <v>487</v>
      </c>
      <c r="C259" s="534"/>
      <c r="D259" s="535"/>
      <c r="E259" s="535"/>
      <c r="F259" s="535"/>
      <c r="G259" s="565" t="s">
        <v>514</v>
      </c>
    </row>
    <row r="260" spans="1:7" ht="12.75" customHeight="1" x14ac:dyDescent="0.2">
      <c r="A260" s="428"/>
      <c r="B260" s="564" t="s">
        <v>488</v>
      </c>
      <c r="C260" s="534"/>
      <c r="D260" s="535"/>
      <c r="E260" s="535"/>
      <c r="F260" s="535"/>
      <c r="G260" s="565" t="s">
        <v>515</v>
      </c>
    </row>
    <row r="261" spans="1:7" ht="12.75" customHeight="1" x14ac:dyDescent="0.2">
      <c r="A261" s="428"/>
      <c r="B261" s="564" t="s">
        <v>489</v>
      </c>
      <c r="C261" s="534"/>
      <c r="D261" s="535"/>
      <c r="E261" s="535"/>
      <c r="F261" s="535"/>
      <c r="G261" s="565" t="s">
        <v>516</v>
      </c>
    </row>
    <row r="262" spans="1:7" ht="12.75" customHeight="1" x14ac:dyDescent="0.2">
      <c r="A262" s="428"/>
      <c r="B262" s="564" t="s">
        <v>490</v>
      </c>
      <c r="C262" s="534"/>
      <c r="D262" s="535"/>
      <c r="E262" s="535"/>
      <c r="F262" s="535"/>
      <c r="G262" s="565" t="s">
        <v>517</v>
      </c>
    </row>
    <row r="263" spans="1:7" ht="12.75" customHeight="1" x14ac:dyDescent="0.2">
      <c r="A263" s="428"/>
      <c r="B263" s="564" t="s">
        <v>544</v>
      </c>
      <c r="C263" s="534"/>
      <c r="D263" s="535"/>
      <c r="E263" s="535"/>
      <c r="F263" s="535"/>
      <c r="G263" s="565">
        <v>3042</v>
      </c>
    </row>
    <row r="264" spans="1:7" ht="12.75" customHeight="1" x14ac:dyDescent="0.2">
      <c r="A264" s="428"/>
      <c r="B264" s="564" t="s">
        <v>491</v>
      </c>
      <c r="C264" s="534"/>
      <c r="D264" s="535"/>
      <c r="E264" s="535"/>
      <c r="F264" s="535"/>
      <c r="G264" s="565" t="s">
        <v>518</v>
      </c>
    </row>
    <row r="265" spans="1:7" ht="12.75" customHeight="1" x14ac:dyDescent="0.2">
      <c r="A265" s="428"/>
      <c r="B265" s="564" t="s">
        <v>492</v>
      </c>
      <c r="C265" s="534"/>
      <c r="D265" s="535"/>
      <c r="E265" s="535"/>
      <c r="F265" s="535"/>
      <c r="G265" s="565" t="s">
        <v>519</v>
      </c>
    </row>
    <row r="266" spans="1:7" ht="12.75" customHeight="1" x14ac:dyDescent="0.2">
      <c r="A266" s="428"/>
      <c r="B266" s="564" t="s">
        <v>493</v>
      </c>
      <c r="C266" s="534"/>
      <c r="D266" s="535"/>
      <c r="E266" s="535"/>
      <c r="F266" s="535"/>
      <c r="G266" s="565" t="s">
        <v>520</v>
      </c>
    </row>
    <row r="267" spans="1:7" ht="12.75" customHeight="1" x14ac:dyDescent="0.2">
      <c r="A267" s="428"/>
      <c r="B267" s="564" t="s">
        <v>535</v>
      </c>
      <c r="C267" s="534"/>
      <c r="D267" s="535">
        <v>0</v>
      </c>
      <c r="E267" s="535"/>
      <c r="F267" s="535"/>
      <c r="G267" s="565">
        <v>3048</v>
      </c>
    </row>
    <row r="268" spans="1:7" ht="12.75" customHeight="1" x14ac:dyDescent="0.2">
      <c r="A268" s="428"/>
      <c r="B268" s="564" t="s">
        <v>494</v>
      </c>
      <c r="C268" s="534"/>
      <c r="D268" s="535">
        <v>0</v>
      </c>
      <c r="E268" s="535"/>
      <c r="F268" s="535"/>
      <c r="G268" s="565" t="s">
        <v>521</v>
      </c>
    </row>
    <row r="269" spans="1:7" ht="12.75" customHeight="1" x14ac:dyDescent="0.2">
      <c r="A269" s="428"/>
      <c r="B269" s="564" t="s">
        <v>495</v>
      </c>
      <c r="C269" s="534"/>
      <c r="D269" s="535">
        <v>0</v>
      </c>
      <c r="E269" s="535"/>
      <c r="F269" s="535"/>
      <c r="G269" s="565" t="s">
        <v>522</v>
      </c>
    </row>
    <row r="270" spans="1:7" ht="12.75" customHeight="1" x14ac:dyDescent="0.2">
      <c r="A270" s="428"/>
      <c r="B270" s="564" t="s">
        <v>538</v>
      </c>
      <c r="C270" s="534"/>
      <c r="D270" s="535">
        <v>0</v>
      </c>
      <c r="E270" s="535"/>
      <c r="F270" s="535"/>
      <c r="G270" s="565">
        <v>3051</v>
      </c>
    </row>
    <row r="271" spans="1:7" ht="12.75" customHeight="1" x14ac:dyDescent="0.2">
      <c r="A271" s="428"/>
      <c r="B271" s="564" t="s">
        <v>554</v>
      </c>
      <c r="C271" s="534"/>
      <c r="D271" s="535"/>
      <c r="E271" s="535"/>
      <c r="F271" s="535"/>
      <c r="G271" s="565">
        <v>3052</v>
      </c>
    </row>
    <row r="272" spans="1:7" ht="12.75" customHeight="1" x14ac:dyDescent="0.2">
      <c r="A272" s="428"/>
      <c r="B272" s="564" t="s">
        <v>496</v>
      </c>
      <c r="C272" s="534"/>
      <c r="D272" s="535"/>
      <c r="E272" s="535"/>
      <c r="F272" s="535"/>
      <c r="G272" s="565" t="s">
        <v>523</v>
      </c>
    </row>
    <row r="273" spans="1:8" ht="12.75" customHeight="1" x14ac:dyDescent="0.2">
      <c r="A273" s="428"/>
      <c r="B273" s="564" t="s">
        <v>539</v>
      </c>
      <c r="C273" s="534"/>
      <c r="D273" s="535"/>
      <c r="E273" s="535"/>
      <c r="F273" s="535"/>
      <c r="G273" s="565">
        <v>3056</v>
      </c>
    </row>
    <row r="274" spans="1:8" ht="12.75" customHeight="1" x14ac:dyDescent="0.2">
      <c r="A274" s="428"/>
      <c r="B274" s="564" t="s">
        <v>497</v>
      </c>
      <c r="C274" s="534"/>
      <c r="D274" s="535"/>
      <c r="E274" s="535"/>
      <c r="F274" s="535"/>
      <c r="G274" s="565">
        <v>3057</v>
      </c>
    </row>
    <row r="275" spans="1:8" ht="12.75" customHeight="1" x14ac:dyDescent="0.2">
      <c r="A275" s="428"/>
      <c r="B275" s="564" t="s">
        <v>498</v>
      </c>
      <c r="C275" s="534"/>
      <c r="D275" s="535"/>
      <c r="E275" s="535"/>
      <c r="F275" s="535"/>
      <c r="G275" s="565" t="s">
        <v>525</v>
      </c>
    </row>
    <row r="276" spans="1:8" ht="12.75" customHeight="1" x14ac:dyDescent="0.2">
      <c r="A276" s="428"/>
      <c r="B276" s="564" t="s">
        <v>499</v>
      </c>
      <c r="C276" s="534"/>
      <c r="D276" s="535"/>
      <c r="E276" s="535"/>
      <c r="F276" s="535"/>
      <c r="G276" s="565" t="s">
        <v>526</v>
      </c>
    </row>
    <row r="277" spans="1:8" ht="12.75" customHeight="1" x14ac:dyDescent="0.2">
      <c r="A277" s="428"/>
      <c r="B277" s="564" t="s">
        <v>536</v>
      </c>
      <c r="C277" s="534"/>
      <c r="D277" s="535"/>
      <c r="E277" s="535"/>
      <c r="F277" s="535"/>
      <c r="G277" s="565">
        <v>3061</v>
      </c>
    </row>
    <row r="278" spans="1:8" ht="12.75" customHeight="1" x14ac:dyDescent="0.2">
      <c r="A278" s="428"/>
      <c r="B278" s="564" t="s">
        <v>545</v>
      </c>
      <c r="C278" s="534"/>
      <c r="D278" s="535"/>
      <c r="E278" s="535"/>
      <c r="F278" s="535"/>
      <c r="G278" s="565">
        <v>3063</v>
      </c>
    </row>
    <row r="279" spans="1:8" ht="12.75" customHeight="1" x14ac:dyDescent="0.2">
      <c r="A279" s="428"/>
      <c r="B279" s="564" t="s">
        <v>500</v>
      </c>
      <c r="C279" s="534"/>
      <c r="D279" s="535">
        <v>0</v>
      </c>
      <c r="E279" s="535"/>
      <c r="F279" s="535"/>
      <c r="G279" s="565" t="s">
        <v>527</v>
      </c>
    </row>
    <row r="280" spans="1:8" ht="12.75" customHeight="1" x14ac:dyDescent="0.2">
      <c r="A280" s="428"/>
      <c r="B280" s="564" t="s">
        <v>549</v>
      </c>
      <c r="C280" s="534"/>
      <c r="D280" s="535"/>
      <c r="E280" s="535"/>
      <c r="F280" s="535"/>
      <c r="G280" s="565">
        <v>3065</v>
      </c>
    </row>
    <row r="281" spans="1:8" ht="12.75" customHeight="1" x14ac:dyDescent="0.2">
      <c r="A281" s="428"/>
      <c r="B281" s="564" t="s">
        <v>501</v>
      </c>
      <c r="C281" s="534"/>
      <c r="D281" s="535"/>
      <c r="E281" s="535"/>
      <c r="F281" s="535"/>
      <c r="G281" s="565" t="s">
        <v>528</v>
      </c>
    </row>
    <row r="282" spans="1:8" ht="12.75" customHeight="1" x14ac:dyDescent="0.2">
      <c r="A282" s="428"/>
      <c r="B282" s="564" t="s">
        <v>502</v>
      </c>
      <c r="C282" s="534"/>
      <c r="D282" s="535"/>
      <c r="E282" s="535"/>
      <c r="F282" s="535"/>
      <c r="G282" s="565" t="s">
        <v>529</v>
      </c>
      <c r="H282" s="537"/>
    </row>
    <row r="283" spans="1:8" ht="12.75" customHeight="1" x14ac:dyDescent="0.2">
      <c r="A283" s="428"/>
      <c r="B283" s="564" t="s">
        <v>503</v>
      </c>
      <c r="C283" s="534"/>
      <c r="D283" s="535"/>
      <c r="E283" s="535"/>
      <c r="F283" s="535"/>
      <c r="G283" s="565">
        <v>3068</v>
      </c>
      <c r="H283" s="537"/>
    </row>
    <row r="284" spans="1:8" ht="12.75" customHeight="1" x14ac:dyDescent="0.2">
      <c r="A284" s="428"/>
      <c r="B284" s="564" t="s">
        <v>504</v>
      </c>
      <c r="C284" s="534"/>
      <c r="D284" s="535"/>
      <c r="E284" s="535"/>
      <c r="F284" s="535"/>
      <c r="G284" s="565">
        <v>3069</v>
      </c>
      <c r="H284" s="537"/>
    </row>
    <row r="285" spans="1:8" ht="12.75" customHeight="1" x14ac:dyDescent="0.2">
      <c r="A285" s="428"/>
      <c r="B285" s="564" t="s">
        <v>540</v>
      </c>
      <c r="C285" s="534"/>
      <c r="D285" s="535">
        <v>0</v>
      </c>
      <c r="E285" s="535"/>
      <c r="F285" s="535"/>
      <c r="G285" s="565">
        <v>3073</v>
      </c>
    </row>
    <row r="286" spans="1:8" ht="12.75" customHeight="1" x14ac:dyDescent="0.2">
      <c r="A286" s="428"/>
      <c r="B286" s="567" t="s">
        <v>252</v>
      </c>
      <c r="C286" s="538"/>
      <c r="D286" s="535">
        <v>110477.9</v>
      </c>
      <c r="E286" s="566">
        <f>SUM(D286)</f>
        <v>110477.9</v>
      </c>
      <c r="F286" s="535"/>
      <c r="G286" s="565">
        <v>3001</v>
      </c>
      <c r="H286" s="537"/>
    </row>
    <row r="287" spans="1:8" ht="12.75" customHeight="1" x14ac:dyDescent="0.2">
      <c r="A287" s="428"/>
      <c r="B287" s="568" t="s">
        <v>377</v>
      </c>
      <c r="C287" s="539"/>
      <c r="D287" s="535"/>
      <c r="E287" s="566">
        <f>SUM(D288:D293)</f>
        <v>339992.11</v>
      </c>
      <c r="F287" s="535"/>
    </row>
    <row r="288" spans="1:8" ht="12.75" customHeight="1" x14ac:dyDescent="0.2">
      <c r="A288" s="428"/>
      <c r="B288" s="536"/>
      <c r="C288" s="538" t="s">
        <v>253</v>
      </c>
      <c r="D288" s="535">
        <v>15542.28</v>
      </c>
      <c r="E288" s="535"/>
      <c r="F288" s="535"/>
      <c r="G288" s="525">
        <v>4000</v>
      </c>
    </row>
    <row r="289" spans="1:11" ht="12.75" customHeight="1" x14ac:dyDescent="0.2">
      <c r="A289" s="428"/>
      <c r="B289" s="536"/>
      <c r="C289" s="538" t="s">
        <v>254</v>
      </c>
      <c r="D289" s="535">
        <v>0</v>
      </c>
      <c r="E289" s="535"/>
      <c r="F289" s="535"/>
      <c r="G289" s="525">
        <v>4001</v>
      </c>
    </row>
    <row r="290" spans="1:11" ht="12.75" customHeight="1" x14ac:dyDescent="0.2">
      <c r="A290" s="428"/>
      <c r="B290" s="536"/>
      <c r="C290" s="538" t="s">
        <v>255</v>
      </c>
      <c r="D290" s="535">
        <v>294291.84999999998</v>
      </c>
      <c r="E290" s="535"/>
      <c r="F290" s="535"/>
    </row>
    <row r="291" spans="1:11" ht="12.75" customHeight="1" x14ac:dyDescent="0.2">
      <c r="A291" s="428"/>
      <c r="B291" s="536"/>
      <c r="C291" s="538" t="s">
        <v>256</v>
      </c>
      <c r="D291" s="535">
        <v>928.91</v>
      </c>
      <c r="E291" s="535"/>
      <c r="F291" s="535"/>
    </row>
    <row r="292" spans="1:11" ht="12.75" customHeight="1" x14ac:dyDescent="0.2">
      <c r="A292" s="428"/>
      <c r="B292" s="536"/>
      <c r="C292" s="539" t="s">
        <v>257</v>
      </c>
      <c r="D292" s="535">
        <v>2266.14</v>
      </c>
      <c r="E292" s="535"/>
      <c r="F292" s="535"/>
    </row>
    <row r="293" spans="1:11" ht="12.75" customHeight="1" x14ac:dyDescent="0.2">
      <c r="A293" s="428"/>
      <c r="B293" s="536"/>
      <c r="C293" s="539" t="s">
        <v>115</v>
      </c>
      <c r="D293" s="535">
        <v>26962.93</v>
      </c>
      <c r="E293" s="535"/>
      <c r="F293" s="535"/>
    </row>
    <row r="294" spans="1:11" ht="12.75" customHeight="1" x14ac:dyDescent="0.2">
      <c r="A294" s="428"/>
      <c r="B294" s="568" t="s">
        <v>702</v>
      </c>
      <c r="C294" s="539"/>
      <c r="D294" s="535">
        <v>-9322.52</v>
      </c>
      <c r="E294" s="566">
        <f>D294</f>
        <v>-9322.52</v>
      </c>
      <c r="F294" s="543"/>
    </row>
    <row r="295" spans="1:11" ht="12.75" customHeight="1" x14ac:dyDescent="0.2">
      <c r="A295" s="552"/>
      <c r="B295" s="570" t="s">
        <v>259</v>
      </c>
      <c r="D295" s="535">
        <v>0</v>
      </c>
      <c r="E295" s="569">
        <f>D295</f>
        <v>0</v>
      </c>
      <c r="F295" s="543"/>
      <c r="H295" s="537"/>
    </row>
    <row r="296" spans="1:11" ht="12.75" customHeight="1" thickBot="1" x14ac:dyDescent="0.25">
      <c r="A296" s="544"/>
      <c r="B296" s="545"/>
      <c r="C296" s="546"/>
      <c r="D296" s="547"/>
      <c r="E296" s="548"/>
      <c r="F296" s="736">
        <f>SUM(E243:E296)</f>
        <v>706681.6</v>
      </c>
      <c r="G296" s="525">
        <v>70200</v>
      </c>
      <c r="H296" s="555">
        <f>'Sched-B1'!B9+'Sched-B2'!E105+'Sched-D1'!F296-4769947.61-185136.05</f>
        <v>-1.1059455573558807E-9</v>
      </c>
      <c r="K296" s="537"/>
    </row>
    <row r="297" spans="1:11" ht="12.75" customHeight="1" x14ac:dyDescent="0.2">
      <c r="A297" s="530" t="s">
        <v>555</v>
      </c>
      <c r="B297" s="685" t="s">
        <v>703</v>
      </c>
      <c r="C297" s="531"/>
      <c r="D297" s="532"/>
      <c r="E297" s="533">
        <f>37702.49-8982</f>
        <v>28720.489999999998</v>
      </c>
      <c r="F297" s="533"/>
      <c r="G297" s="686" t="s">
        <v>707</v>
      </c>
    </row>
    <row r="298" spans="1:11" ht="12.75" customHeight="1" x14ac:dyDescent="0.2">
      <c r="A298" s="428"/>
      <c r="B298" s="562" t="s">
        <v>477</v>
      </c>
      <c r="C298" s="534"/>
      <c r="D298" s="535">
        <v>276902.58</v>
      </c>
      <c r="E298" s="566">
        <f>SUM(D298:D334)</f>
        <v>680875.65999999992</v>
      </c>
      <c r="F298" s="535"/>
      <c r="H298" s="537"/>
    </row>
    <row r="299" spans="1:11" ht="12.75" customHeight="1" x14ac:dyDescent="0.2">
      <c r="A299" s="428"/>
      <c r="B299" s="573" t="s">
        <v>661</v>
      </c>
      <c r="C299" s="655"/>
      <c r="D299" s="821">
        <v>-66448.58</v>
      </c>
      <c r="E299" s="566"/>
      <c r="F299" s="535"/>
      <c r="H299" s="537"/>
    </row>
    <row r="300" spans="1:11" ht="12.75" customHeight="1" x14ac:dyDescent="0.2">
      <c r="A300" s="428"/>
      <c r="B300" s="573" t="s">
        <v>556</v>
      </c>
      <c r="C300" s="471"/>
      <c r="D300" s="821">
        <v>-219154.93</v>
      </c>
      <c r="E300" s="535"/>
      <c r="F300" s="535"/>
      <c r="H300" s="525" t="s">
        <v>810</v>
      </c>
    </row>
    <row r="301" spans="1:11" ht="12.75" customHeight="1" x14ac:dyDescent="0.2">
      <c r="A301" s="428"/>
      <c r="B301" s="564" t="s">
        <v>478</v>
      </c>
      <c r="C301" s="534"/>
      <c r="D301" s="535"/>
      <c r="E301" s="535"/>
      <c r="F301" s="535"/>
      <c r="G301" s="565" t="s">
        <v>505</v>
      </c>
      <c r="H301" s="537">
        <v>285603.51</v>
      </c>
      <c r="I301" s="525" t="s">
        <v>706</v>
      </c>
    </row>
    <row r="302" spans="1:11" ht="12.75" customHeight="1" x14ac:dyDescent="0.2">
      <c r="A302" s="428"/>
      <c r="B302" s="564" t="s">
        <v>479</v>
      </c>
      <c r="C302" s="534"/>
      <c r="D302" s="535"/>
      <c r="E302" s="535"/>
      <c r="F302" s="535"/>
      <c r="G302" s="565" t="s">
        <v>506</v>
      </c>
    </row>
    <row r="303" spans="1:11" ht="12.75" customHeight="1" x14ac:dyDescent="0.2">
      <c r="A303" s="428"/>
      <c r="B303" s="564" t="s">
        <v>480</v>
      </c>
      <c r="C303" s="534"/>
      <c r="D303" s="535"/>
      <c r="E303" s="535"/>
      <c r="F303" s="535"/>
      <c r="G303" s="565" t="s">
        <v>507</v>
      </c>
    </row>
    <row r="304" spans="1:11" ht="12.75" customHeight="1" x14ac:dyDescent="0.2">
      <c r="A304" s="428"/>
      <c r="B304" s="564" t="s">
        <v>548</v>
      </c>
      <c r="C304" s="534"/>
      <c r="D304" s="535"/>
      <c r="E304" s="535"/>
      <c r="F304" s="535"/>
      <c r="G304" s="565">
        <v>3014</v>
      </c>
    </row>
    <row r="305" spans="1:11" ht="12.75" customHeight="1" x14ac:dyDescent="0.2">
      <c r="A305" s="428"/>
      <c r="B305" s="564" t="s">
        <v>481</v>
      </c>
      <c r="C305" s="534"/>
      <c r="D305" s="535"/>
      <c r="E305" s="535"/>
      <c r="F305" s="535"/>
      <c r="G305" s="565" t="s">
        <v>508</v>
      </c>
    </row>
    <row r="306" spans="1:11" ht="12.75" customHeight="1" x14ac:dyDescent="0.2">
      <c r="A306" s="428"/>
      <c r="B306" s="564" t="s">
        <v>482</v>
      </c>
      <c r="C306" s="534"/>
      <c r="D306" s="535"/>
      <c r="E306" s="535"/>
      <c r="F306" s="535"/>
      <c r="G306" s="565" t="s">
        <v>509</v>
      </c>
      <c r="K306" s="537"/>
    </row>
    <row r="307" spans="1:11" ht="12.75" customHeight="1" x14ac:dyDescent="0.2">
      <c r="A307" s="428"/>
      <c r="B307" s="564" t="s">
        <v>557</v>
      </c>
      <c r="C307" s="534"/>
      <c r="D307" s="535"/>
      <c r="E307" s="535"/>
      <c r="F307" s="535"/>
      <c r="G307" s="565">
        <v>3028</v>
      </c>
    </row>
    <row r="308" spans="1:11" ht="12.75" customHeight="1" x14ac:dyDescent="0.2">
      <c r="A308" s="428"/>
      <c r="B308" s="573" t="s">
        <v>50</v>
      </c>
      <c r="C308" s="534"/>
      <c r="D308" s="535">
        <v>689576.59</v>
      </c>
      <c r="E308" s="535"/>
      <c r="F308" s="535"/>
      <c r="G308" s="565"/>
    </row>
    <row r="309" spans="1:11" ht="12.75" customHeight="1" x14ac:dyDescent="0.2">
      <c r="A309" s="428"/>
      <c r="B309" s="564" t="s">
        <v>483</v>
      </c>
      <c r="C309" s="534"/>
      <c r="D309" s="535"/>
      <c r="E309" s="535"/>
      <c r="F309" s="535"/>
      <c r="G309" s="565" t="s">
        <v>510</v>
      </c>
    </row>
    <row r="310" spans="1:11" ht="12.75" customHeight="1" x14ac:dyDescent="0.2">
      <c r="A310" s="428"/>
      <c r="B310" s="564" t="s">
        <v>484</v>
      </c>
      <c r="C310" s="534"/>
      <c r="D310" s="535"/>
      <c r="E310" s="535"/>
      <c r="F310" s="535"/>
      <c r="G310" s="565" t="s">
        <v>511</v>
      </c>
    </row>
    <row r="311" spans="1:11" ht="12.75" customHeight="1" x14ac:dyDescent="0.2">
      <c r="A311" s="428"/>
      <c r="B311" s="564" t="s">
        <v>534</v>
      </c>
      <c r="C311" s="534"/>
      <c r="D311" s="535"/>
      <c r="E311" s="535"/>
      <c r="F311" s="535"/>
      <c r="G311" s="565">
        <v>3034</v>
      </c>
    </row>
    <row r="312" spans="1:11" ht="12.75" customHeight="1" x14ac:dyDescent="0.2">
      <c r="A312" s="428"/>
      <c r="B312" s="564" t="s">
        <v>485</v>
      </c>
      <c r="C312" s="534"/>
      <c r="D312" s="535"/>
      <c r="E312" s="535"/>
      <c r="F312" s="535"/>
      <c r="G312" s="565" t="s">
        <v>512</v>
      </c>
    </row>
    <row r="313" spans="1:11" ht="12.75" customHeight="1" x14ac:dyDescent="0.2">
      <c r="A313" s="428"/>
      <c r="B313" s="564" t="s">
        <v>486</v>
      </c>
      <c r="C313" s="534"/>
      <c r="D313" s="535"/>
      <c r="E313" s="535"/>
      <c r="F313" s="535"/>
      <c r="G313" s="565" t="s">
        <v>513</v>
      </c>
      <c r="K313" s="554"/>
    </row>
    <row r="314" spans="1:11" ht="12.75" customHeight="1" x14ac:dyDescent="0.2">
      <c r="A314" s="428"/>
      <c r="B314" s="564" t="s">
        <v>487</v>
      </c>
      <c r="C314" s="534"/>
      <c r="D314" s="535"/>
      <c r="E314" s="535"/>
      <c r="F314" s="535"/>
      <c r="G314" s="565" t="s">
        <v>514</v>
      </c>
    </row>
    <row r="315" spans="1:11" ht="12.75" customHeight="1" x14ac:dyDescent="0.2">
      <c r="A315" s="428"/>
      <c r="B315" s="564" t="s">
        <v>488</v>
      </c>
      <c r="C315" s="534"/>
      <c r="D315" s="535"/>
      <c r="E315" s="535"/>
      <c r="F315" s="535"/>
      <c r="G315" s="565" t="s">
        <v>515</v>
      </c>
    </row>
    <row r="316" spans="1:11" ht="12.75" customHeight="1" x14ac:dyDescent="0.2">
      <c r="A316" s="428"/>
      <c r="B316" s="564" t="s">
        <v>489</v>
      </c>
      <c r="C316" s="534"/>
      <c r="D316" s="535"/>
      <c r="E316" s="535"/>
      <c r="F316" s="535"/>
      <c r="G316" s="565" t="s">
        <v>516</v>
      </c>
    </row>
    <row r="317" spans="1:11" ht="12.75" customHeight="1" x14ac:dyDescent="0.2">
      <c r="A317" s="428"/>
      <c r="B317" s="564" t="s">
        <v>490</v>
      </c>
      <c r="C317" s="534"/>
      <c r="D317" s="535"/>
      <c r="E317" s="535"/>
      <c r="F317" s="535"/>
      <c r="G317" s="565" t="s">
        <v>517</v>
      </c>
    </row>
    <row r="318" spans="1:11" ht="12.75" customHeight="1" x14ac:dyDescent="0.2">
      <c r="A318" s="428"/>
      <c r="B318" s="564" t="s">
        <v>491</v>
      </c>
      <c r="C318" s="534"/>
      <c r="D318" s="535"/>
      <c r="E318" s="535"/>
      <c r="F318" s="535"/>
      <c r="G318" s="565" t="s">
        <v>518</v>
      </c>
    </row>
    <row r="319" spans="1:11" ht="12.75" customHeight="1" x14ac:dyDescent="0.2">
      <c r="A319" s="428"/>
      <c r="B319" s="564" t="s">
        <v>492</v>
      </c>
      <c r="C319" s="534"/>
      <c r="D319" s="535"/>
      <c r="E319" s="535"/>
      <c r="F319" s="535"/>
      <c r="G319" s="565" t="s">
        <v>519</v>
      </c>
    </row>
    <row r="320" spans="1:11" ht="12.75" customHeight="1" x14ac:dyDescent="0.2">
      <c r="A320" s="428"/>
      <c r="B320" s="564" t="s">
        <v>493</v>
      </c>
      <c r="C320" s="534"/>
      <c r="D320" s="535"/>
      <c r="E320" s="535"/>
      <c r="F320" s="535"/>
      <c r="G320" s="565" t="s">
        <v>520</v>
      </c>
    </row>
    <row r="321" spans="1:8" ht="12.75" customHeight="1" x14ac:dyDescent="0.2">
      <c r="A321" s="428"/>
      <c r="B321" s="564" t="s">
        <v>535</v>
      </c>
      <c r="C321" s="534"/>
      <c r="D321" s="535"/>
      <c r="E321" s="535"/>
      <c r="F321" s="535"/>
      <c r="G321" s="565">
        <v>3048</v>
      </c>
    </row>
    <row r="322" spans="1:8" ht="12.75" customHeight="1" x14ac:dyDescent="0.2">
      <c r="A322" s="428"/>
      <c r="B322" s="564" t="s">
        <v>494</v>
      </c>
      <c r="C322" s="534"/>
      <c r="D322" s="535"/>
      <c r="E322" s="535"/>
      <c r="F322" s="535"/>
      <c r="G322" s="565" t="s">
        <v>521</v>
      </c>
    </row>
    <row r="323" spans="1:8" ht="12.75" customHeight="1" x14ac:dyDescent="0.2">
      <c r="A323" s="428"/>
      <c r="B323" s="564" t="s">
        <v>495</v>
      </c>
      <c r="C323" s="534"/>
      <c r="D323" s="535"/>
      <c r="E323" s="535"/>
      <c r="F323" s="535"/>
      <c r="G323" s="565" t="s">
        <v>522</v>
      </c>
    </row>
    <row r="324" spans="1:8" ht="12.75" customHeight="1" x14ac:dyDescent="0.2">
      <c r="A324" s="428"/>
      <c r="B324" s="564" t="s">
        <v>554</v>
      </c>
      <c r="C324" s="534"/>
      <c r="D324" s="535"/>
      <c r="E324" s="535"/>
      <c r="F324" s="535"/>
      <c r="G324" s="565">
        <v>3052</v>
      </c>
    </row>
    <row r="325" spans="1:8" ht="12.75" customHeight="1" x14ac:dyDescent="0.2">
      <c r="A325" s="428"/>
      <c r="B325" s="564" t="s">
        <v>496</v>
      </c>
      <c r="C325" s="534"/>
      <c r="D325" s="535"/>
      <c r="E325" s="535"/>
      <c r="F325" s="535"/>
      <c r="G325" s="565" t="s">
        <v>523</v>
      </c>
    </row>
    <row r="326" spans="1:8" ht="12.75" customHeight="1" x14ac:dyDescent="0.2">
      <c r="A326" s="428"/>
      <c r="B326" s="564" t="s">
        <v>497</v>
      </c>
      <c r="C326" s="534"/>
      <c r="D326" s="535"/>
      <c r="E326" s="535"/>
      <c r="F326" s="535"/>
      <c r="G326" s="565" t="s">
        <v>524</v>
      </c>
    </row>
    <row r="327" spans="1:8" ht="12.75" customHeight="1" x14ac:dyDescent="0.2">
      <c r="A327" s="428"/>
      <c r="B327" s="564" t="s">
        <v>498</v>
      </c>
      <c r="C327" s="534"/>
      <c r="D327" s="535"/>
      <c r="E327" s="535"/>
      <c r="F327" s="535"/>
      <c r="G327" s="565" t="s">
        <v>525</v>
      </c>
    </row>
    <row r="328" spans="1:8" ht="12.75" customHeight="1" x14ac:dyDescent="0.2">
      <c r="A328" s="428"/>
      <c r="B328" s="564" t="s">
        <v>499</v>
      </c>
      <c r="C328" s="534"/>
      <c r="D328" s="535"/>
      <c r="E328" s="535"/>
      <c r="F328" s="535"/>
      <c r="G328" s="565" t="s">
        <v>526</v>
      </c>
    </row>
    <row r="329" spans="1:8" ht="12.75" customHeight="1" x14ac:dyDescent="0.2">
      <c r="A329" s="428"/>
      <c r="B329" s="564" t="s">
        <v>536</v>
      </c>
      <c r="C329" s="534"/>
      <c r="D329" s="535"/>
      <c r="E329" s="535"/>
      <c r="F329" s="535"/>
      <c r="G329" s="565">
        <v>3061</v>
      </c>
    </row>
    <row r="330" spans="1:8" ht="12.75" customHeight="1" x14ac:dyDescent="0.2">
      <c r="A330" s="428"/>
      <c r="B330" s="564" t="s">
        <v>500</v>
      </c>
      <c r="C330" s="534"/>
      <c r="D330" s="535"/>
      <c r="E330" s="535"/>
      <c r="F330" s="535"/>
      <c r="G330" s="565" t="s">
        <v>527</v>
      </c>
    </row>
    <row r="331" spans="1:8" ht="12.75" customHeight="1" x14ac:dyDescent="0.2">
      <c r="A331" s="428"/>
      <c r="B331" s="564" t="s">
        <v>501</v>
      </c>
      <c r="C331" s="534"/>
      <c r="D331" s="535"/>
      <c r="E331" s="535"/>
      <c r="F331" s="535"/>
      <c r="G331" s="565" t="s">
        <v>528</v>
      </c>
    </row>
    <row r="332" spans="1:8" ht="12.75" customHeight="1" x14ac:dyDescent="0.2">
      <c r="A332" s="428"/>
      <c r="B332" s="564" t="s">
        <v>502</v>
      </c>
      <c r="C332" s="534"/>
      <c r="D332" s="535"/>
      <c r="E332" s="535"/>
      <c r="F332" s="535"/>
      <c r="G332" s="565" t="s">
        <v>529</v>
      </c>
      <c r="H332" s="537"/>
    </row>
    <row r="333" spans="1:8" ht="12.75" customHeight="1" x14ac:dyDescent="0.2">
      <c r="A333" s="428"/>
      <c r="B333" s="564" t="s">
        <v>503</v>
      </c>
      <c r="C333" s="534"/>
      <c r="D333" s="535"/>
      <c r="E333" s="535"/>
      <c r="F333" s="535"/>
      <c r="G333" s="565" t="s">
        <v>530</v>
      </c>
    </row>
    <row r="334" spans="1:8" ht="12.75" customHeight="1" x14ac:dyDescent="0.2">
      <c r="A334" s="428"/>
      <c r="B334" s="564" t="s">
        <v>504</v>
      </c>
      <c r="C334" s="534"/>
      <c r="D334" s="535"/>
      <c r="E334" s="535"/>
      <c r="F334" s="535"/>
      <c r="G334" s="565" t="s">
        <v>531</v>
      </c>
      <c r="H334" s="537"/>
    </row>
    <row r="335" spans="1:8" ht="12.75" customHeight="1" x14ac:dyDescent="0.2">
      <c r="A335" s="428"/>
      <c r="B335" s="567" t="s">
        <v>252</v>
      </c>
      <c r="C335" s="538"/>
      <c r="D335" s="535">
        <v>349992.36</v>
      </c>
      <c r="E335" s="566">
        <f>SUM(D335)</f>
        <v>349992.36</v>
      </c>
      <c r="F335" s="535"/>
      <c r="G335" s="565">
        <v>3001</v>
      </c>
      <c r="H335" s="537"/>
    </row>
    <row r="336" spans="1:8" ht="12.75" customHeight="1" x14ac:dyDescent="0.2">
      <c r="A336" s="428"/>
      <c r="B336" s="568" t="s">
        <v>377</v>
      </c>
      <c r="C336" s="539"/>
      <c r="D336" s="535"/>
      <c r="E336" s="566">
        <f>SUM(D337:D342)</f>
        <v>945650.2100000002</v>
      </c>
      <c r="F336" s="535"/>
      <c r="H336" s="537"/>
    </row>
    <row r="337" spans="1:8" ht="12.75" customHeight="1" x14ac:dyDescent="0.2">
      <c r="A337" s="428"/>
      <c r="B337" s="536"/>
      <c r="C337" s="538" t="s">
        <v>253</v>
      </c>
      <c r="D337" s="535">
        <v>41453.120000000003</v>
      </c>
      <c r="E337" s="535"/>
      <c r="F337" s="535"/>
      <c r="H337" s="537"/>
    </row>
    <row r="338" spans="1:8" ht="12.75" customHeight="1" x14ac:dyDescent="0.2">
      <c r="A338" s="428"/>
      <c r="B338" s="536"/>
      <c r="C338" s="538" t="s">
        <v>254</v>
      </c>
      <c r="D338" s="535">
        <v>40</v>
      </c>
      <c r="E338" s="535"/>
      <c r="F338" s="535"/>
    </row>
    <row r="339" spans="1:8" ht="12.75" customHeight="1" x14ac:dyDescent="0.2">
      <c r="A339" s="428"/>
      <c r="B339" s="536"/>
      <c r="C339" s="538" t="s">
        <v>255</v>
      </c>
      <c r="D339" s="535">
        <v>774003.05</v>
      </c>
      <c r="E339" s="535"/>
      <c r="F339" s="535"/>
    </row>
    <row r="340" spans="1:8" ht="12.75" customHeight="1" x14ac:dyDescent="0.2">
      <c r="A340" s="428"/>
      <c r="B340" s="536"/>
      <c r="C340" s="538" t="s">
        <v>256</v>
      </c>
      <c r="D340" s="535">
        <v>2401.17</v>
      </c>
      <c r="E340" s="535"/>
      <c r="F340" s="535"/>
    </row>
    <row r="341" spans="1:8" ht="12.75" customHeight="1" x14ac:dyDescent="0.2">
      <c r="A341" s="550"/>
      <c r="B341" s="536"/>
      <c r="C341" s="539" t="s">
        <v>257</v>
      </c>
      <c r="D341" s="535">
        <v>26014.799999999999</v>
      </c>
      <c r="E341" s="535"/>
      <c r="F341" s="535"/>
    </row>
    <row r="342" spans="1:8" ht="12.75" customHeight="1" x14ac:dyDescent="0.2">
      <c r="A342" s="428"/>
      <c r="B342" s="536"/>
      <c r="C342" s="539" t="s">
        <v>115</v>
      </c>
      <c r="D342" s="535">
        <v>101738.07</v>
      </c>
      <c r="E342" s="535"/>
      <c r="F342" s="535"/>
    </row>
    <row r="343" spans="1:8" ht="12.75" customHeight="1" x14ac:dyDescent="0.2">
      <c r="A343" s="428"/>
      <c r="B343" s="568" t="s">
        <v>702</v>
      </c>
      <c r="C343" s="539"/>
      <c r="D343" s="535">
        <v>-26498.61</v>
      </c>
      <c r="E343" s="566">
        <f>D343</f>
        <v>-26498.61</v>
      </c>
      <c r="F343" s="535"/>
      <c r="G343" s="525">
        <v>4005</v>
      </c>
    </row>
    <row r="344" spans="1:8" ht="12.75" customHeight="1" x14ac:dyDescent="0.2">
      <c r="A344" s="428"/>
      <c r="B344" s="570" t="s">
        <v>259</v>
      </c>
      <c r="D344" s="535">
        <v>0</v>
      </c>
      <c r="E344" s="569">
        <f>D344</f>
        <v>0</v>
      </c>
      <c r="F344" s="535"/>
      <c r="H344" s="537"/>
    </row>
    <row r="345" spans="1:8" ht="12.75" customHeight="1" thickBot="1" x14ac:dyDescent="0.25">
      <c r="A345" s="544"/>
      <c r="B345" s="545"/>
      <c r="C345" s="546"/>
      <c r="D345" s="551"/>
      <c r="E345" s="548"/>
      <c r="F345" s="736">
        <f>SUM(E297:E345)</f>
        <v>1978740.1099999999</v>
      </c>
      <c r="H345" s="549">
        <f>'Sched-B1'!B10+'Sched-B2'!E122+'Sched-D1'!F345-10673568.04-689576.59+285603.51</f>
        <v>0</v>
      </c>
    </row>
    <row r="346" spans="1:8" ht="12.75" customHeight="1" x14ac:dyDescent="0.2">
      <c r="A346" s="530" t="s">
        <v>619</v>
      </c>
      <c r="B346" s="685" t="s">
        <v>703</v>
      </c>
      <c r="C346" s="531"/>
      <c r="D346" s="532"/>
      <c r="E346" s="533">
        <v>0</v>
      </c>
      <c r="F346" s="533"/>
      <c r="G346" s="525">
        <v>2000</v>
      </c>
    </row>
    <row r="347" spans="1:8" ht="12.75" customHeight="1" x14ac:dyDescent="0.2">
      <c r="A347" s="428"/>
      <c r="B347" s="562" t="s">
        <v>477</v>
      </c>
      <c r="C347" s="534"/>
      <c r="D347" s="535">
        <v>52290.16</v>
      </c>
      <c r="E347" s="566">
        <f>SUM(D347:D387)</f>
        <v>219389.1</v>
      </c>
      <c r="F347" s="535"/>
    </row>
    <row r="348" spans="1:8" ht="12.75" customHeight="1" x14ac:dyDescent="0.2">
      <c r="A348" s="428"/>
      <c r="B348" s="564" t="s">
        <v>478</v>
      </c>
      <c r="C348" s="534"/>
      <c r="D348" s="535"/>
      <c r="E348" s="535"/>
      <c r="F348" s="535"/>
      <c r="G348" s="565" t="s">
        <v>505</v>
      </c>
    </row>
    <row r="349" spans="1:8" ht="12.75" customHeight="1" x14ac:dyDescent="0.2">
      <c r="A349" s="428"/>
      <c r="B349" s="564" t="s">
        <v>479</v>
      </c>
      <c r="C349" s="534"/>
      <c r="D349" s="535"/>
      <c r="E349" s="535"/>
      <c r="F349" s="535"/>
      <c r="G349" s="565" t="s">
        <v>506</v>
      </c>
    </row>
    <row r="350" spans="1:8" ht="12.75" customHeight="1" x14ac:dyDescent="0.2">
      <c r="A350" s="428"/>
      <c r="B350" s="564" t="s">
        <v>537</v>
      </c>
      <c r="C350" s="534"/>
      <c r="D350" s="535"/>
      <c r="E350" s="535"/>
      <c r="F350" s="535"/>
      <c r="G350" s="565">
        <v>3003</v>
      </c>
    </row>
    <row r="351" spans="1:8" ht="12.75" customHeight="1" x14ac:dyDescent="0.2">
      <c r="A351" s="428"/>
      <c r="B351" s="564" t="s">
        <v>480</v>
      </c>
      <c r="C351" s="534"/>
      <c r="D351" s="535"/>
      <c r="E351" s="535"/>
      <c r="F351" s="535"/>
      <c r="G351" s="565" t="s">
        <v>507</v>
      </c>
    </row>
    <row r="352" spans="1:8" ht="12.75" customHeight="1" x14ac:dyDescent="0.2">
      <c r="A352" s="428"/>
      <c r="B352" s="564" t="s">
        <v>548</v>
      </c>
      <c r="C352" s="534"/>
      <c r="D352" s="535"/>
      <c r="E352" s="535"/>
      <c r="F352" s="535"/>
      <c r="G352" s="565">
        <v>3014</v>
      </c>
    </row>
    <row r="353" spans="1:7" ht="12.75" customHeight="1" x14ac:dyDescent="0.2">
      <c r="A353" s="428"/>
      <c r="B353" s="564" t="s">
        <v>481</v>
      </c>
      <c r="C353" s="534"/>
      <c r="D353" s="535"/>
      <c r="E353" s="535"/>
      <c r="F353" s="535"/>
      <c r="G353" s="565" t="s">
        <v>508</v>
      </c>
    </row>
    <row r="354" spans="1:7" ht="12.75" customHeight="1" x14ac:dyDescent="0.2">
      <c r="A354" s="428"/>
      <c r="B354" s="564" t="s">
        <v>482</v>
      </c>
      <c r="C354" s="534"/>
      <c r="D354" s="535"/>
      <c r="E354" s="535"/>
      <c r="F354" s="535"/>
      <c r="G354" s="565" t="s">
        <v>509</v>
      </c>
    </row>
    <row r="355" spans="1:7" ht="12.75" customHeight="1" x14ac:dyDescent="0.2">
      <c r="A355" s="428"/>
      <c r="B355" s="573" t="s">
        <v>50</v>
      </c>
      <c r="C355" s="534"/>
      <c r="D355" s="535">
        <v>167098.94</v>
      </c>
      <c r="E355" s="535"/>
      <c r="F355" s="535"/>
      <c r="G355" s="565"/>
    </row>
    <row r="356" spans="1:7" ht="12.75" customHeight="1" x14ac:dyDescent="0.2">
      <c r="A356" s="428"/>
      <c r="B356" s="564" t="s">
        <v>542</v>
      </c>
      <c r="C356" s="534"/>
      <c r="D356" s="535"/>
      <c r="E356" s="535"/>
      <c r="F356" s="535"/>
      <c r="G356" s="565">
        <v>3029</v>
      </c>
    </row>
    <row r="357" spans="1:7" ht="12.75" customHeight="1" x14ac:dyDescent="0.2">
      <c r="A357" s="428"/>
      <c r="B357" s="564" t="s">
        <v>483</v>
      </c>
      <c r="C357" s="534"/>
      <c r="D357" s="535"/>
      <c r="E357" s="535"/>
      <c r="F357" s="535"/>
      <c r="G357" s="565" t="s">
        <v>510</v>
      </c>
    </row>
    <row r="358" spans="1:7" ht="12.75" customHeight="1" x14ac:dyDescent="0.2">
      <c r="A358" s="428"/>
      <c r="B358" s="564" t="s">
        <v>484</v>
      </c>
      <c r="C358" s="534"/>
      <c r="D358" s="535"/>
      <c r="E358" s="535"/>
      <c r="F358" s="535"/>
      <c r="G358" s="565" t="s">
        <v>511</v>
      </c>
    </row>
    <row r="359" spans="1:7" ht="12.75" customHeight="1" x14ac:dyDescent="0.2">
      <c r="A359" s="428"/>
      <c r="B359" s="564" t="s">
        <v>534</v>
      </c>
      <c r="C359" s="534"/>
      <c r="D359" s="535"/>
      <c r="E359" s="535"/>
      <c r="F359" s="535"/>
      <c r="G359" s="565">
        <v>3034</v>
      </c>
    </row>
    <row r="360" spans="1:7" ht="12.75" customHeight="1" x14ac:dyDescent="0.2">
      <c r="A360" s="428"/>
      <c r="B360" s="564" t="s">
        <v>485</v>
      </c>
      <c r="C360" s="534"/>
      <c r="D360" s="535"/>
      <c r="E360" s="535"/>
      <c r="F360" s="535"/>
      <c r="G360" s="565" t="s">
        <v>512</v>
      </c>
    </row>
    <row r="361" spans="1:7" ht="12.75" customHeight="1" x14ac:dyDescent="0.2">
      <c r="A361" s="428"/>
      <c r="B361" s="564" t="s">
        <v>486</v>
      </c>
      <c r="C361" s="534"/>
      <c r="D361" s="535"/>
      <c r="E361" s="535"/>
      <c r="F361" s="535"/>
      <c r="G361" s="565" t="s">
        <v>513</v>
      </c>
    </row>
    <row r="362" spans="1:7" ht="12.75" customHeight="1" x14ac:dyDescent="0.2">
      <c r="A362" s="428"/>
      <c r="B362" s="564" t="s">
        <v>487</v>
      </c>
      <c r="C362" s="534"/>
      <c r="D362" s="535"/>
      <c r="E362" s="535"/>
      <c r="F362" s="535"/>
      <c r="G362" s="565" t="s">
        <v>514</v>
      </c>
    </row>
    <row r="363" spans="1:7" ht="12.75" customHeight="1" x14ac:dyDescent="0.2">
      <c r="A363" s="428"/>
      <c r="B363" s="564" t="s">
        <v>488</v>
      </c>
      <c r="C363" s="534"/>
      <c r="D363" s="535"/>
      <c r="E363" s="535"/>
      <c r="F363" s="535"/>
      <c r="G363" s="565" t="s">
        <v>515</v>
      </c>
    </row>
    <row r="364" spans="1:7" ht="12.75" customHeight="1" x14ac:dyDescent="0.2">
      <c r="A364" s="428"/>
      <c r="B364" s="564" t="s">
        <v>489</v>
      </c>
      <c r="C364" s="534"/>
      <c r="D364" s="535"/>
      <c r="E364" s="535"/>
      <c r="F364" s="535"/>
      <c r="G364" s="565" t="s">
        <v>516</v>
      </c>
    </row>
    <row r="365" spans="1:7" ht="12.75" customHeight="1" x14ac:dyDescent="0.2">
      <c r="A365" s="428"/>
      <c r="B365" s="564" t="s">
        <v>490</v>
      </c>
      <c r="C365" s="534"/>
      <c r="D365" s="535"/>
      <c r="E365" s="535"/>
      <c r="F365" s="535"/>
      <c r="G365" s="565" t="s">
        <v>517</v>
      </c>
    </row>
    <row r="366" spans="1:7" ht="12.75" customHeight="1" x14ac:dyDescent="0.2">
      <c r="A366" s="428"/>
      <c r="B366" s="564" t="s">
        <v>544</v>
      </c>
      <c r="C366" s="534"/>
      <c r="D366" s="535"/>
      <c r="E366" s="535"/>
      <c r="F366" s="535"/>
      <c r="G366" s="565">
        <v>3042</v>
      </c>
    </row>
    <row r="367" spans="1:7" ht="12.75" customHeight="1" x14ac:dyDescent="0.2">
      <c r="A367" s="428"/>
      <c r="B367" s="564" t="s">
        <v>491</v>
      </c>
      <c r="C367" s="534"/>
      <c r="D367" s="535"/>
      <c r="E367" s="535"/>
      <c r="F367" s="535"/>
      <c r="G367" s="565" t="s">
        <v>518</v>
      </c>
    </row>
    <row r="368" spans="1:7" ht="12.75" customHeight="1" x14ac:dyDescent="0.2">
      <c r="A368" s="428"/>
      <c r="B368" s="564" t="s">
        <v>492</v>
      </c>
      <c r="C368" s="534"/>
      <c r="D368" s="535"/>
      <c r="E368" s="535"/>
      <c r="F368" s="535"/>
      <c r="G368" s="565" t="s">
        <v>519</v>
      </c>
    </row>
    <row r="369" spans="1:8" ht="12.75" customHeight="1" x14ac:dyDescent="0.2">
      <c r="A369" s="428"/>
      <c r="B369" s="564" t="s">
        <v>493</v>
      </c>
      <c r="C369" s="534"/>
      <c r="D369" s="535"/>
      <c r="E369" s="535"/>
      <c r="F369" s="535"/>
      <c r="G369" s="565" t="s">
        <v>520</v>
      </c>
    </row>
    <row r="370" spans="1:8" ht="12.75" customHeight="1" x14ac:dyDescent="0.2">
      <c r="A370" s="428"/>
      <c r="B370" s="564" t="s">
        <v>535</v>
      </c>
      <c r="C370" s="534"/>
      <c r="D370" s="535"/>
      <c r="E370" s="535"/>
      <c r="F370" s="535"/>
      <c r="G370" s="565">
        <v>3048</v>
      </c>
    </row>
    <row r="371" spans="1:8" ht="12.75" customHeight="1" x14ac:dyDescent="0.2">
      <c r="A371" s="428"/>
      <c r="B371" s="564" t="s">
        <v>494</v>
      </c>
      <c r="C371" s="534"/>
      <c r="D371" s="535"/>
      <c r="E371" s="535"/>
      <c r="F371" s="535"/>
      <c r="G371" s="565" t="s">
        <v>521</v>
      </c>
    </row>
    <row r="372" spans="1:8" ht="12.75" customHeight="1" x14ac:dyDescent="0.2">
      <c r="A372" s="428"/>
      <c r="B372" s="564" t="s">
        <v>495</v>
      </c>
      <c r="C372" s="534"/>
      <c r="D372" s="535"/>
      <c r="E372" s="535"/>
      <c r="F372" s="535"/>
      <c r="G372" s="565" t="s">
        <v>522</v>
      </c>
    </row>
    <row r="373" spans="1:8" ht="12.75" customHeight="1" x14ac:dyDescent="0.2">
      <c r="A373" s="428"/>
      <c r="B373" s="564" t="s">
        <v>538</v>
      </c>
      <c r="C373" s="534"/>
      <c r="D373" s="535"/>
      <c r="E373" s="535"/>
      <c r="F373" s="535"/>
      <c r="G373" s="565">
        <v>3051</v>
      </c>
    </row>
    <row r="374" spans="1:8" ht="12.75" customHeight="1" x14ac:dyDescent="0.2">
      <c r="A374" s="428"/>
      <c r="B374" s="564" t="s">
        <v>496</v>
      </c>
      <c r="C374" s="534"/>
      <c r="D374" s="535"/>
      <c r="E374" s="535"/>
      <c r="F374" s="535"/>
      <c r="G374" s="565" t="s">
        <v>523</v>
      </c>
    </row>
    <row r="375" spans="1:8" ht="12.75" customHeight="1" x14ac:dyDescent="0.2">
      <c r="A375" s="428"/>
      <c r="B375" s="564" t="s">
        <v>539</v>
      </c>
      <c r="C375" s="534"/>
      <c r="D375" s="535"/>
      <c r="E375" s="535"/>
      <c r="F375" s="535"/>
      <c r="G375" s="565">
        <v>3056</v>
      </c>
    </row>
    <row r="376" spans="1:8" ht="12.75" customHeight="1" x14ac:dyDescent="0.2">
      <c r="A376" s="428"/>
      <c r="B376" s="564" t="s">
        <v>497</v>
      </c>
      <c r="C376" s="534"/>
      <c r="D376" s="535"/>
      <c r="E376" s="535"/>
      <c r="F376" s="535"/>
      <c r="G376" s="565">
        <v>3057</v>
      </c>
    </row>
    <row r="377" spans="1:8" ht="12.75" customHeight="1" x14ac:dyDescent="0.2">
      <c r="A377" s="428"/>
      <c r="B377" s="564" t="s">
        <v>498</v>
      </c>
      <c r="C377" s="534"/>
      <c r="D377" s="535"/>
      <c r="E377" s="535"/>
      <c r="F377" s="535"/>
      <c r="G377" s="565" t="s">
        <v>525</v>
      </c>
    </row>
    <row r="378" spans="1:8" ht="12.75" customHeight="1" x14ac:dyDescent="0.2">
      <c r="A378" s="428"/>
      <c r="B378" s="564" t="s">
        <v>499</v>
      </c>
      <c r="C378" s="534"/>
      <c r="D378" s="535"/>
      <c r="E378" s="535"/>
      <c r="F378" s="535"/>
      <c r="G378" s="565" t="s">
        <v>526</v>
      </c>
    </row>
    <row r="379" spans="1:8" ht="12.75" customHeight="1" x14ac:dyDescent="0.2">
      <c r="A379" s="428"/>
      <c r="B379" s="564" t="s">
        <v>536</v>
      </c>
      <c r="C379" s="534"/>
      <c r="D379" s="535"/>
      <c r="E379" s="535"/>
      <c r="F379" s="535"/>
      <c r="G379" s="565">
        <v>3061</v>
      </c>
    </row>
    <row r="380" spans="1:8" ht="12.75" customHeight="1" x14ac:dyDescent="0.2">
      <c r="A380" s="428"/>
      <c r="B380" s="564" t="s">
        <v>545</v>
      </c>
      <c r="C380" s="534"/>
      <c r="D380" s="535"/>
      <c r="E380" s="535"/>
      <c r="F380" s="535"/>
      <c r="G380" s="565">
        <v>3063</v>
      </c>
    </row>
    <row r="381" spans="1:8" ht="12.75" customHeight="1" x14ac:dyDescent="0.2">
      <c r="A381" s="428"/>
      <c r="B381" s="564" t="s">
        <v>500</v>
      </c>
      <c r="C381" s="534"/>
      <c r="D381" s="535"/>
      <c r="E381" s="535"/>
      <c r="F381" s="535"/>
      <c r="G381" s="565" t="s">
        <v>527</v>
      </c>
    </row>
    <row r="382" spans="1:8" ht="12.75" customHeight="1" x14ac:dyDescent="0.2">
      <c r="A382" s="428"/>
      <c r="B382" s="564" t="s">
        <v>549</v>
      </c>
      <c r="C382" s="534"/>
      <c r="D382" s="535"/>
      <c r="E382" s="535"/>
      <c r="F382" s="535"/>
      <c r="G382" s="565">
        <v>3065</v>
      </c>
    </row>
    <row r="383" spans="1:8" ht="12.75" customHeight="1" x14ac:dyDescent="0.2">
      <c r="A383" s="428"/>
      <c r="B383" s="564" t="s">
        <v>501</v>
      </c>
      <c r="C383" s="534"/>
      <c r="D383" s="535"/>
      <c r="E383" s="535"/>
      <c r="F383" s="535"/>
      <c r="G383" s="565" t="s">
        <v>528</v>
      </c>
    </row>
    <row r="384" spans="1:8" ht="12.75" customHeight="1" x14ac:dyDescent="0.2">
      <c r="A384" s="428"/>
      <c r="B384" s="564" t="s">
        <v>502</v>
      </c>
      <c r="C384" s="534"/>
      <c r="D384" s="535"/>
      <c r="E384" s="535"/>
      <c r="F384" s="535"/>
      <c r="G384" s="565" t="s">
        <v>529</v>
      </c>
      <c r="H384" s="537"/>
    </row>
    <row r="385" spans="1:8" ht="12.75" customHeight="1" x14ac:dyDescent="0.2">
      <c r="A385" s="428"/>
      <c r="B385" s="564" t="s">
        <v>503</v>
      </c>
      <c r="C385" s="534"/>
      <c r="D385" s="535">
        <v>0</v>
      </c>
      <c r="E385" s="535"/>
      <c r="F385" s="535"/>
      <c r="G385" s="565">
        <v>3068</v>
      </c>
      <c r="H385" s="537"/>
    </row>
    <row r="386" spans="1:8" ht="12.75" customHeight="1" x14ac:dyDescent="0.2">
      <c r="A386" s="428"/>
      <c r="B386" s="564" t="s">
        <v>504</v>
      </c>
      <c r="C386" s="534"/>
      <c r="D386" s="535">
        <v>0</v>
      </c>
      <c r="E386" s="535"/>
      <c r="F386" s="535"/>
      <c r="G386" s="565">
        <v>3069</v>
      </c>
      <c r="H386" s="537"/>
    </row>
    <row r="387" spans="1:8" ht="12.75" customHeight="1" x14ac:dyDescent="0.2">
      <c r="A387" s="428"/>
      <c r="B387" s="564" t="s">
        <v>540</v>
      </c>
      <c r="C387" s="534"/>
      <c r="D387" s="535">
        <v>0</v>
      </c>
      <c r="E387" s="535"/>
      <c r="F387" s="535"/>
      <c r="G387" s="565">
        <v>3073</v>
      </c>
    </row>
    <row r="388" spans="1:8" ht="12.75" customHeight="1" x14ac:dyDescent="0.2">
      <c r="A388" s="428"/>
      <c r="B388" s="567" t="s">
        <v>252</v>
      </c>
      <c r="D388" s="535">
        <v>116324.82</v>
      </c>
      <c r="E388" s="566">
        <f>SUM(D388)</f>
        <v>116324.82</v>
      </c>
      <c r="F388" s="535"/>
      <c r="G388" s="525">
        <v>3001</v>
      </c>
      <c r="H388" s="537"/>
    </row>
    <row r="389" spans="1:8" ht="12.75" customHeight="1" x14ac:dyDescent="0.2">
      <c r="A389" s="428"/>
      <c r="B389" s="568" t="s">
        <v>377</v>
      </c>
      <c r="C389" s="539"/>
      <c r="D389" s="535"/>
      <c r="E389" s="566">
        <f>SUM(D390:D395)</f>
        <v>355738.89</v>
      </c>
      <c r="F389" s="535"/>
    </row>
    <row r="390" spans="1:8" ht="12.75" customHeight="1" x14ac:dyDescent="0.2">
      <c r="A390" s="428"/>
      <c r="B390" s="536"/>
      <c r="C390" s="538" t="s">
        <v>253</v>
      </c>
      <c r="D390" s="535">
        <v>59029.93</v>
      </c>
      <c r="E390" s="535"/>
      <c r="F390" s="535"/>
      <c r="G390" s="525">
        <v>4000</v>
      </c>
    </row>
    <row r="391" spans="1:8" ht="12.75" customHeight="1" x14ac:dyDescent="0.2">
      <c r="A391" s="428"/>
      <c r="B391" s="536"/>
      <c r="C391" s="538" t="s">
        <v>254</v>
      </c>
      <c r="D391" s="535">
        <v>0</v>
      </c>
      <c r="E391" s="535"/>
      <c r="F391" s="535"/>
      <c r="G391" s="525">
        <v>4001</v>
      </c>
    </row>
    <row r="392" spans="1:8" ht="12.75" customHeight="1" x14ac:dyDescent="0.2">
      <c r="A392" s="428"/>
      <c r="B392" s="536"/>
      <c r="C392" s="538" t="s">
        <v>255</v>
      </c>
      <c r="D392" s="535">
        <v>256223.06</v>
      </c>
      <c r="E392" s="535"/>
      <c r="F392" s="535"/>
    </row>
    <row r="393" spans="1:8" ht="12.75" customHeight="1" x14ac:dyDescent="0.2">
      <c r="A393" s="428"/>
      <c r="B393" s="536"/>
      <c r="C393" s="538" t="s">
        <v>256</v>
      </c>
      <c r="D393" s="535">
        <v>2073.39</v>
      </c>
      <c r="E393" s="535"/>
      <c r="F393" s="535"/>
    </row>
    <row r="394" spans="1:8" ht="12.75" customHeight="1" x14ac:dyDescent="0.2">
      <c r="A394" s="428"/>
      <c r="B394" s="536"/>
      <c r="C394" s="539" t="s">
        <v>257</v>
      </c>
      <c r="D394" s="535">
        <v>6482.84</v>
      </c>
      <c r="E394" s="535"/>
      <c r="F394" s="535"/>
    </row>
    <row r="395" spans="1:8" ht="12.75" customHeight="1" x14ac:dyDescent="0.2">
      <c r="A395" s="428"/>
      <c r="B395" s="536"/>
      <c r="C395" s="539" t="s">
        <v>115</v>
      </c>
      <c r="D395" s="535">
        <v>31929.67</v>
      </c>
      <c r="E395" s="535"/>
      <c r="F395" s="535"/>
    </row>
    <row r="396" spans="1:8" ht="12.75" customHeight="1" x14ac:dyDescent="0.2">
      <c r="A396" s="540"/>
      <c r="B396" s="568" t="s">
        <v>702</v>
      </c>
      <c r="C396" s="539"/>
      <c r="D396" s="535">
        <v>-2831.04</v>
      </c>
      <c r="E396" s="566">
        <f>D396</f>
        <v>-2831.04</v>
      </c>
      <c r="F396" s="543"/>
    </row>
    <row r="397" spans="1:8" ht="12.75" customHeight="1" x14ac:dyDescent="0.2">
      <c r="A397" s="540"/>
      <c r="B397" s="570" t="s">
        <v>259</v>
      </c>
      <c r="D397" s="535">
        <v>0</v>
      </c>
      <c r="E397" s="569">
        <f>D397</f>
        <v>0</v>
      </c>
      <c r="F397" s="543"/>
      <c r="G397" s="525">
        <v>5000</v>
      </c>
    </row>
    <row r="398" spans="1:8" ht="12.75" customHeight="1" thickBot="1" x14ac:dyDescent="0.25">
      <c r="A398" s="544"/>
      <c r="B398" s="545"/>
      <c r="C398" s="546"/>
      <c r="D398" s="547"/>
      <c r="E398" s="548"/>
      <c r="F398" s="736">
        <f>SUM(E346:E397)</f>
        <v>688621.77</v>
      </c>
      <c r="H398" s="549">
        <f>'Sched-B1'!B11+'Sched-B2'!E139+'Sched-D1'!F398-6465357.63-167098.94</f>
        <v>4.0745362639427185E-10</v>
      </c>
    </row>
    <row r="399" spans="1:8" ht="12.75" customHeight="1" x14ac:dyDescent="0.2">
      <c r="A399" s="530" t="s">
        <v>558</v>
      </c>
      <c r="B399" s="685" t="s">
        <v>703</v>
      </c>
      <c r="C399" s="531"/>
      <c r="D399" s="844"/>
      <c r="E399" s="845">
        <v>0</v>
      </c>
      <c r="F399" s="845"/>
    </row>
    <row r="400" spans="1:8" ht="12.75" customHeight="1" x14ac:dyDescent="0.2">
      <c r="A400" s="428"/>
      <c r="B400" s="562" t="s">
        <v>477</v>
      </c>
      <c r="C400" s="534"/>
      <c r="D400" s="846">
        <v>453434.41</v>
      </c>
      <c r="E400" s="847">
        <f>SUM(D400:D436)</f>
        <v>760386.75</v>
      </c>
      <c r="F400" s="846"/>
      <c r="H400" s="537"/>
    </row>
    <row r="401" spans="1:10" ht="12.75" customHeight="1" x14ac:dyDescent="0.2">
      <c r="A401" s="428"/>
      <c r="B401" s="564" t="s">
        <v>478</v>
      </c>
      <c r="C401" s="534"/>
      <c r="D401" s="846"/>
      <c r="E401" s="846"/>
      <c r="F401" s="846"/>
      <c r="G401" s="565" t="s">
        <v>505</v>
      </c>
      <c r="H401" s="574"/>
      <c r="I401" s="471"/>
      <c r="J401" s="471"/>
    </row>
    <row r="402" spans="1:10" ht="12.75" customHeight="1" x14ac:dyDescent="0.2">
      <c r="A402" s="428"/>
      <c r="B402" s="564" t="s">
        <v>479</v>
      </c>
      <c r="C402" s="534"/>
      <c r="D402" s="846"/>
      <c r="E402" s="846"/>
      <c r="F402" s="846"/>
      <c r="G402" s="565" t="s">
        <v>506</v>
      </c>
      <c r="H402" s="471"/>
      <c r="I402" s="471"/>
      <c r="J402" s="471"/>
    </row>
    <row r="403" spans="1:10" ht="12.75" customHeight="1" x14ac:dyDescent="0.2">
      <c r="A403" s="428"/>
      <c r="B403" s="564" t="s">
        <v>480</v>
      </c>
      <c r="C403" s="534"/>
      <c r="D403" s="846"/>
      <c r="E403" s="846"/>
      <c r="F403" s="846"/>
      <c r="G403" s="565" t="s">
        <v>507</v>
      </c>
    </row>
    <row r="404" spans="1:10" ht="12.75" customHeight="1" x14ac:dyDescent="0.2">
      <c r="A404" s="428"/>
      <c r="B404" s="564" t="s">
        <v>548</v>
      </c>
      <c r="C404" s="534"/>
      <c r="D404" s="846"/>
      <c r="E404" s="846"/>
      <c r="F404" s="846"/>
      <c r="G404" s="565">
        <v>3014</v>
      </c>
    </row>
    <row r="405" spans="1:10" ht="12.75" customHeight="1" x14ac:dyDescent="0.2">
      <c r="A405" s="428"/>
      <c r="B405" s="564" t="s">
        <v>481</v>
      </c>
      <c r="C405" s="534"/>
      <c r="D405" s="846"/>
      <c r="E405" s="846"/>
      <c r="F405" s="846"/>
      <c r="G405" s="565" t="s">
        <v>508</v>
      </c>
    </row>
    <row r="406" spans="1:10" ht="12.75" customHeight="1" x14ac:dyDescent="0.2">
      <c r="A406" s="428"/>
      <c r="B406" s="564" t="s">
        <v>482</v>
      </c>
      <c r="C406" s="534"/>
      <c r="D406" s="846"/>
      <c r="E406" s="846"/>
      <c r="F406" s="846"/>
      <c r="G406" s="565" t="s">
        <v>509</v>
      </c>
    </row>
    <row r="407" spans="1:10" ht="12.75" customHeight="1" x14ac:dyDescent="0.2">
      <c r="A407" s="428"/>
      <c r="B407" s="564" t="s">
        <v>557</v>
      </c>
      <c r="C407" s="534"/>
      <c r="D407" s="846"/>
      <c r="E407" s="846"/>
      <c r="F407" s="846"/>
      <c r="G407" s="565">
        <v>3028</v>
      </c>
    </row>
    <row r="408" spans="1:10" ht="12.75" customHeight="1" x14ac:dyDescent="0.2">
      <c r="A408" s="428"/>
      <c r="B408" s="573" t="s">
        <v>50</v>
      </c>
      <c r="C408" s="534"/>
      <c r="D408" s="846">
        <v>306952.34000000003</v>
      </c>
      <c r="E408" s="846"/>
      <c r="F408" s="846"/>
      <c r="G408" s="565"/>
    </row>
    <row r="409" spans="1:10" ht="12.75" customHeight="1" x14ac:dyDescent="0.2">
      <c r="A409" s="428"/>
      <c r="B409" s="564" t="s">
        <v>483</v>
      </c>
      <c r="C409" s="534"/>
      <c r="D409" s="846"/>
      <c r="E409" s="846"/>
      <c r="F409" s="846"/>
      <c r="G409" s="565" t="s">
        <v>510</v>
      </c>
    </row>
    <row r="410" spans="1:10" ht="12.75" customHeight="1" x14ac:dyDescent="0.2">
      <c r="A410" s="428"/>
      <c r="B410" s="564" t="s">
        <v>484</v>
      </c>
      <c r="C410" s="534"/>
      <c r="D410" s="846"/>
      <c r="E410" s="846"/>
      <c r="F410" s="846"/>
      <c r="G410" s="565" t="s">
        <v>511</v>
      </c>
    </row>
    <row r="411" spans="1:10" ht="12.75" customHeight="1" x14ac:dyDescent="0.2">
      <c r="A411" s="428"/>
      <c r="B411" s="564" t="s">
        <v>534</v>
      </c>
      <c r="C411" s="534"/>
      <c r="D411" s="846"/>
      <c r="E411" s="846"/>
      <c r="F411" s="846"/>
      <c r="G411" s="565">
        <v>3034</v>
      </c>
    </row>
    <row r="412" spans="1:10" ht="12.75" customHeight="1" x14ac:dyDescent="0.2">
      <c r="A412" s="428"/>
      <c r="B412" s="564" t="s">
        <v>485</v>
      </c>
      <c r="C412" s="534"/>
      <c r="D412" s="846"/>
      <c r="E412" s="846"/>
      <c r="F412" s="846"/>
      <c r="G412" s="565" t="s">
        <v>512</v>
      </c>
    </row>
    <row r="413" spans="1:10" ht="12.75" customHeight="1" x14ac:dyDescent="0.2">
      <c r="A413" s="428"/>
      <c r="B413" s="564" t="s">
        <v>486</v>
      </c>
      <c r="C413" s="534"/>
      <c r="D413" s="846"/>
      <c r="E413" s="846"/>
      <c r="F413" s="846"/>
      <c r="G413" s="565" t="s">
        <v>513</v>
      </c>
    </row>
    <row r="414" spans="1:10" ht="12.75" customHeight="1" x14ac:dyDescent="0.2">
      <c r="A414" s="428"/>
      <c r="B414" s="564" t="s">
        <v>487</v>
      </c>
      <c r="C414" s="534"/>
      <c r="D414" s="846"/>
      <c r="E414" s="846"/>
      <c r="F414" s="846"/>
      <c r="G414" s="565" t="s">
        <v>514</v>
      </c>
    </row>
    <row r="415" spans="1:10" ht="12.75" customHeight="1" x14ac:dyDescent="0.2">
      <c r="A415" s="428"/>
      <c r="B415" s="564" t="s">
        <v>488</v>
      </c>
      <c r="C415" s="534"/>
      <c r="D415" s="846"/>
      <c r="E415" s="846"/>
      <c r="F415" s="846"/>
      <c r="G415" s="565" t="s">
        <v>515</v>
      </c>
    </row>
    <row r="416" spans="1:10" ht="12.75" customHeight="1" x14ac:dyDescent="0.2">
      <c r="A416" s="428"/>
      <c r="B416" s="564" t="s">
        <v>489</v>
      </c>
      <c r="C416" s="534"/>
      <c r="D416" s="846"/>
      <c r="E416" s="846"/>
      <c r="F416" s="846"/>
      <c r="G416" s="565" t="s">
        <v>516</v>
      </c>
    </row>
    <row r="417" spans="1:7" ht="12.75" customHeight="1" x14ac:dyDescent="0.2">
      <c r="A417" s="428"/>
      <c r="B417" s="564" t="s">
        <v>490</v>
      </c>
      <c r="C417" s="534"/>
      <c r="D417" s="846"/>
      <c r="E417" s="846"/>
      <c r="F417" s="846"/>
      <c r="G417" s="565" t="s">
        <v>517</v>
      </c>
    </row>
    <row r="418" spans="1:7" ht="12.75" customHeight="1" x14ac:dyDescent="0.2">
      <c r="A418" s="428"/>
      <c r="B418" s="564" t="s">
        <v>491</v>
      </c>
      <c r="C418" s="534"/>
      <c r="D418" s="846"/>
      <c r="E418" s="846"/>
      <c r="F418" s="846"/>
      <c r="G418" s="565" t="s">
        <v>518</v>
      </c>
    </row>
    <row r="419" spans="1:7" ht="12.75" customHeight="1" x14ac:dyDescent="0.2">
      <c r="A419" s="428"/>
      <c r="B419" s="564" t="s">
        <v>492</v>
      </c>
      <c r="C419" s="534"/>
      <c r="D419" s="846"/>
      <c r="E419" s="846"/>
      <c r="F419" s="846"/>
      <c r="G419" s="565" t="s">
        <v>519</v>
      </c>
    </row>
    <row r="420" spans="1:7" ht="12.75" customHeight="1" x14ac:dyDescent="0.2">
      <c r="A420" s="428"/>
      <c r="B420" s="564" t="s">
        <v>493</v>
      </c>
      <c r="C420" s="534"/>
      <c r="D420" s="846"/>
      <c r="E420" s="846"/>
      <c r="F420" s="846"/>
      <c r="G420" s="565" t="s">
        <v>520</v>
      </c>
    </row>
    <row r="421" spans="1:7" ht="12.75" customHeight="1" x14ac:dyDescent="0.2">
      <c r="A421" s="428"/>
      <c r="B421" s="564" t="s">
        <v>535</v>
      </c>
      <c r="C421" s="534"/>
      <c r="D421" s="846"/>
      <c r="E421" s="846"/>
      <c r="F421" s="846"/>
      <c r="G421" s="565">
        <v>3048</v>
      </c>
    </row>
    <row r="422" spans="1:7" ht="12.75" customHeight="1" x14ac:dyDescent="0.2">
      <c r="A422" s="428"/>
      <c r="B422" s="564" t="s">
        <v>538</v>
      </c>
      <c r="C422" s="534"/>
      <c r="D422" s="846"/>
      <c r="E422" s="846"/>
      <c r="F422" s="846"/>
      <c r="G422" s="565">
        <v>3051</v>
      </c>
    </row>
    <row r="423" spans="1:7" ht="12.75" customHeight="1" x14ac:dyDescent="0.2">
      <c r="A423" s="428"/>
      <c r="B423" s="564" t="s">
        <v>494</v>
      </c>
      <c r="C423" s="534"/>
      <c r="D423" s="846"/>
      <c r="E423" s="846"/>
      <c r="F423" s="846"/>
      <c r="G423" s="565" t="s">
        <v>521</v>
      </c>
    </row>
    <row r="424" spans="1:7" ht="12.75" customHeight="1" x14ac:dyDescent="0.2">
      <c r="A424" s="428"/>
      <c r="B424" s="564" t="s">
        <v>495</v>
      </c>
      <c r="C424" s="534"/>
      <c r="D424" s="846"/>
      <c r="E424" s="846"/>
      <c r="F424" s="846"/>
      <c r="G424" s="565" t="s">
        <v>522</v>
      </c>
    </row>
    <row r="425" spans="1:7" ht="12.75" customHeight="1" x14ac:dyDescent="0.2">
      <c r="A425" s="428"/>
      <c r="B425" s="564" t="s">
        <v>554</v>
      </c>
      <c r="C425" s="534"/>
      <c r="D425" s="846"/>
      <c r="E425" s="846"/>
      <c r="F425" s="846"/>
      <c r="G425" s="565">
        <v>3052</v>
      </c>
    </row>
    <row r="426" spans="1:7" ht="12.75" customHeight="1" x14ac:dyDescent="0.2">
      <c r="A426" s="428"/>
      <c r="B426" s="564" t="s">
        <v>496</v>
      </c>
      <c r="C426" s="534"/>
      <c r="D426" s="846"/>
      <c r="E426" s="846"/>
      <c r="F426" s="846"/>
      <c r="G426" s="565" t="s">
        <v>523</v>
      </c>
    </row>
    <row r="427" spans="1:7" ht="12.75" customHeight="1" x14ac:dyDescent="0.2">
      <c r="A427" s="428"/>
      <c r="B427" s="564" t="s">
        <v>497</v>
      </c>
      <c r="C427" s="534"/>
      <c r="D427" s="846"/>
      <c r="E427" s="846"/>
      <c r="F427" s="846"/>
      <c r="G427" s="565" t="s">
        <v>524</v>
      </c>
    </row>
    <row r="428" spans="1:7" ht="12.75" customHeight="1" x14ac:dyDescent="0.2">
      <c r="A428" s="428"/>
      <c r="B428" s="564" t="s">
        <v>498</v>
      </c>
      <c r="C428" s="534"/>
      <c r="D428" s="846"/>
      <c r="E428" s="846"/>
      <c r="F428" s="846"/>
      <c r="G428" s="565" t="s">
        <v>525</v>
      </c>
    </row>
    <row r="429" spans="1:7" ht="12.75" customHeight="1" x14ac:dyDescent="0.2">
      <c r="A429" s="428"/>
      <c r="B429" s="564" t="s">
        <v>499</v>
      </c>
      <c r="C429" s="534"/>
      <c r="D429" s="846"/>
      <c r="E429" s="846"/>
      <c r="F429" s="846"/>
      <c r="G429" s="565" t="s">
        <v>526</v>
      </c>
    </row>
    <row r="430" spans="1:7" ht="12.75" customHeight="1" x14ac:dyDescent="0.2">
      <c r="A430" s="428"/>
      <c r="B430" s="564" t="s">
        <v>536</v>
      </c>
      <c r="C430" s="534"/>
      <c r="D430" s="846"/>
      <c r="E430" s="846"/>
      <c r="F430" s="846"/>
      <c r="G430" s="565">
        <v>3061</v>
      </c>
    </row>
    <row r="431" spans="1:7" ht="12.75" customHeight="1" x14ac:dyDescent="0.2">
      <c r="A431" s="428"/>
      <c r="B431" s="564" t="s">
        <v>500</v>
      </c>
      <c r="C431" s="534"/>
      <c r="D431" s="846"/>
      <c r="E431" s="846"/>
      <c r="F431" s="846"/>
      <c r="G431" s="565" t="s">
        <v>527</v>
      </c>
    </row>
    <row r="432" spans="1:7" ht="12.75" customHeight="1" x14ac:dyDescent="0.2">
      <c r="A432" s="428"/>
      <c r="B432" s="564" t="s">
        <v>549</v>
      </c>
      <c r="C432" s="534"/>
      <c r="D432" s="846"/>
      <c r="E432" s="846"/>
      <c r="F432" s="846"/>
      <c r="G432" s="565">
        <v>3065</v>
      </c>
    </row>
    <row r="433" spans="1:9" ht="12.75" customHeight="1" x14ac:dyDescent="0.2">
      <c r="A433" s="428"/>
      <c r="B433" s="564" t="s">
        <v>501</v>
      </c>
      <c r="C433" s="534"/>
      <c r="D433" s="846"/>
      <c r="E433" s="846"/>
      <c r="F433" s="846"/>
      <c r="G433" s="565" t="s">
        <v>528</v>
      </c>
    </row>
    <row r="434" spans="1:9" ht="12.75" customHeight="1" x14ac:dyDescent="0.2">
      <c r="A434" s="428"/>
      <c r="B434" s="564" t="s">
        <v>502</v>
      </c>
      <c r="C434" s="534"/>
      <c r="D434" s="846"/>
      <c r="E434" s="846"/>
      <c r="F434" s="846"/>
      <c r="G434" s="565" t="s">
        <v>529</v>
      </c>
      <c r="H434" s="537"/>
    </row>
    <row r="435" spans="1:9" ht="12.75" customHeight="1" x14ac:dyDescent="0.2">
      <c r="A435" s="428"/>
      <c r="B435" s="564" t="s">
        <v>503</v>
      </c>
      <c r="C435" s="534"/>
      <c r="D435" s="846"/>
      <c r="E435" s="846"/>
      <c r="F435" s="846"/>
      <c r="G435" s="565" t="s">
        <v>530</v>
      </c>
    </row>
    <row r="436" spans="1:9" ht="12.75" customHeight="1" x14ac:dyDescent="0.2">
      <c r="A436" s="428"/>
      <c r="B436" s="564" t="s">
        <v>504</v>
      </c>
      <c r="C436" s="534"/>
      <c r="D436" s="846"/>
      <c r="E436" s="846"/>
      <c r="F436" s="846"/>
      <c r="G436" s="565" t="s">
        <v>531</v>
      </c>
      <c r="H436" s="537"/>
    </row>
    <row r="437" spans="1:9" ht="12.75" customHeight="1" x14ac:dyDescent="0.2">
      <c r="A437" s="428"/>
      <c r="B437" s="567" t="s">
        <v>252</v>
      </c>
      <c r="C437" s="538"/>
      <c r="D437" s="846">
        <v>272740.74</v>
      </c>
      <c r="E437" s="847">
        <f>SUM(D437)</f>
        <v>272740.74</v>
      </c>
      <c r="F437" s="846"/>
      <c r="G437" s="565" t="s">
        <v>708</v>
      </c>
      <c r="H437" s="537"/>
    </row>
    <row r="438" spans="1:9" ht="12.75" customHeight="1" x14ac:dyDescent="0.2">
      <c r="A438" s="428"/>
      <c r="B438" s="568" t="s">
        <v>377</v>
      </c>
      <c r="C438" s="539"/>
      <c r="D438" s="846"/>
      <c r="E438" s="847">
        <f>SUM(D439:D444)</f>
        <v>53335.63</v>
      </c>
      <c r="F438" s="846"/>
      <c r="H438" s="537"/>
    </row>
    <row r="439" spans="1:9" ht="12.75" customHeight="1" x14ac:dyDescent="0.2">
      <c r="A439" s="428"/>
      <c r="B439" s="536"/>
      <c r="C439" s="538" t="s">
        <v>253</v>
      </c>
      <c r="D439" s="846">
        <v>10160.049999999999</v>
      </c>
      <c r="E439" s="846"/>
      <c r="F439" s="846"/>
      <c r="G439" s="525">
        <v>4000</v>
      </c>
      <c r="H439" s="537"/>
    </row>
    <row r="440" spans="1:9" ht="12.75" customHeight="1" x14ac:dyDescent="0.2">
      <c r="A440" s="428"/>
      <c r="B440" s="536"/>
      <c r="C440" s="538" t="s">
        <v>254</v>
      </c>
      <c r="D440" s="846"/>
      <c r="E440" s="846"/>
      <c r="F440" s="846"/>
      <c r="G440" s="525">
        <v>4001</v>
      </c>
    </row>
    <row r="441" spans="1:9" ht="12.75" customHeight="1" x14ac:dyDescent="0.2">
      <c r="A441" s="428"/>
      <c r="B441" s="536"/>
      <c r="C441" s="538" t="s">
        <v>255</v>
      </c>
      <c r="D441" s="846">
        <v>150.30000000000001</v>
      </c>
      <c r="E441" s="846"/>
      <c r="F441" s="846"/>
      <c r="G441" s="525">
        <v>4002</v>
      </c>
    </row>
    <row r="442" spans="1:9" ht="12.75" customHeight="1" x14ac:dyDescent="0.2">
      <c r="A442" s="428"/>
      <c r="B442" s="536"/>
      <c r="C442" s="538" t="s">
        <v>256</v>
      </c>
      <c r="D442" s="846">
        <v>312.85000000000002</v>
      </c>
      <c r="E442" s="846"/>
      <c r="F442" s="846"/>
      <c r="G442" s="525">
        <v>4003</v>
      </c>
    </row>
    <row r="443" spans="1:9" ht="12.75" customHeight="1" x14ac:dyDescent="0.2">
      <c r="A443" s="550"/>
      <c r="B443" s="536"/>
      <c r="C443" s="539" t="s">
        <v>257</v>
      </c>
      <c r="D443" s="846">
        <v>0</v>
      </c>
      <c r="E443" s="846"/>
      <c r="F443" s="846"/>
      <c r="G443" s="525">
        <v>4004</v>
      </c>
    </row>
    <row r="444" spans="1:9" ht="12.75" customHeight="1" x14ac:dyDescent="0.2">
      <c r="A444" s="428"/>
      <c r="B444" s="536"/>
      <c r="C444" s="539" t="s">
        <v>115</v>
      </c>
      <c r="D444" s="846">
        <v>42712.43</v>
      </c>
      <c r="E444" s="846"/>
      <c r="F444" s="846"/>
      <c r="G444" s="525">
        <v>4005</v>
      </c>
    </row>
    <row r="445" spans="1:9" ht="12.75" customHeight="1" x14ac:dyDescent="0.2">
      <c r="A445" s="428"/>
      <c r="B445" s="568" t="s">
        <v>702</v>
      </c>
      <c r="C445" s="539"/>
      <c r="D445" s="846">
        <v>0</v>
      </c>
      <c r="E445" s="847">
        <f>D445</f>
        <v>0</v>
      </c>
      <c r="F445" s="846"/>
    </row>
    <row r="446" spans="1:9" ht="12.75" customHeight="1" x14ac:dyDescent="0.25">
      <c r="A446" s="428"/>
      <c r="B446" s="570" t="s">
        <v>259</v>
      </c>
      <c r="D446" s="846">
        <v>56468.18</v>
      </c>
      <c r="E446" s="848">
        <f>D446</f>
        <v>56468.18</v>
      </c>
      <c r="F446" s="846"/>
      <c r="G446" s="525" t="s">
        <v>811</v>
      </c>
      <c r="H446" s="619">
        <f>548240.9+278721.2</f>
        <v>826962.10000000009</v>
      </c>
      <c r="I446" s="167" t="s">
        <v>766</v>
      </c>
    </row>
    <row r="447" spans="1:9" ht="12.75" customHeight="1" thickBot="1" x14ac:dyDescent="0.25">
      <c r="A447" s="544"/>
      <c r="B447" s="545"/>
      <c r="C447" s="546"/>
      <c r="D447" s="849"/>
      <c r="E447" s="850"/>
      <c r="F447" s="851">
        <f>SUM(E399:E447)*1</f>
        <v>1142931.2999999998</v>
      </c>
      <c r="H447" s="549">
        <f>'Sched-B1'!B12+'Sched-B2'!E156+'Sched-D1'!F447-909618.37-306952.34</f>
        <v>0</v>
      </c>
    </row>
    <row r="448" spans="1:9" ht="12.75" customHeight="1" x14ac:dyDescent="0.2">
      <c r="A448" s="530" t="s">
        <v>546</v>
      </c>
      <c r="B448" s="685" t="s">
        <v>703</v>
      </c>
      <c r="C448" s="531"/>
      <c r="D448" s="532"/>
      <c r="E448" s="533">
        <f>49654.87+11279</f>
        <v>60933.87</v>
      </c>
      <c r="F448" s="533"/>
      <c r="G448" s="495" t="s">
        <v>704</v>
      </c>
    </row>
    <row r="449" spans="1:7" ht="12.75" customHeight="1" x14ac:dyDescent="0.2">
      <c r="A449" s="428"/>
      <c r="B449" s="562" t="s">
        <v>477</v>
      </c>
      <c r="C449" s="534"/>
      <c r="D449" s="535">
        <v>312045.8</v>
      </c>
      <c r="E449" s="566">
        <f>SUM(D449:D490)</f>
        <v>1305958.77</v>
      </c>
      <c r="F449" s="535"/>
    </row>
    <row r="450" spans="1:7" ht="12.75" customHeight="1" x14ac:dyDescent="0.2">
      <c r="A450" s="428"/>
      <c r="B450" s="564" t="s">
        <v>478</v>
      </c>
      <c r="C450" s="534"/>
      <c r="D450" s="535"/>
      <c r="E450" s="535"/>
      <c r="F450" s="535"/>
      <c r="G450" s="565" t="s">
        <v>505</v>
      </c>
    </row>
    <row r="451" spans="1:7" ht="12.75" customHeight="1" x14ac:dyDescent="0.2">
      <c r="A451" s="428"/>
      <c r="B451" s="564" t="s">
        <v>479</v>
      </c>
      <c r="C451" s="534"/>
      <c r="D451" s="535"/>
      <c r="E451" s="535"/>
      <c r="F451" s="535"/>
      <c r="G451" s="565" t="s">
        <v>506</v>
      </c>
    </row>
    <row r="452" spans="1:7" ht="12.75" customHeight="1" x14ac:dyDescent="0.2">
      <c r="A452" s="428"/>
      <c r="B452" s="564" t="s">
        <v>537</v>
      </c>
      <c r="C452" s="534"/>
      <c r="D452" s="535"/>
      <c r="E452" s="535"/>
      <c r="F452" s="535"/>
      <c r="G452" s="565">
        <v>3003</v>
      </c>
    </row>
    <row r="453" spans="1:7" ht="12.75" customHeight="1" x14ac:dyDescent="0.2">
      <c r="A453" s="428"/>
      <c r="B453" s="564" t="s">
        <v>550</v>
      </c>
      <c r="C453" s="534"/>
      <c r="D453" s="535"/>
      <c r="E453" s="535"/>
      <c r="F453" s="535"/>
      <c r="G453" s="565">
        <v>3010</v>
      </c>
    </row>
    <row r="454" spans="1:7" ht="12.75" customHeight="1" x14ac:dyDescent="0.2">
      <c r="A454" s="428"/>
      <c r="B454" s="564" t="s">
        <v>480</v>
      </c>
      <c r="C454" s="534"/>
      <c r="D454" s="535"/>
      <c r="E454" s="535"/>
      <c r="F454" s="535"/>
      <c r="G454" s="565" t="s">
        <v>507</v>
      </c>
    </row>
    <row r="455" spans="1:7" ht="12.75" customHeight="1" x14ac:dyDescent="0.2">
      <c r="A455" s="428"/>
      <c r="B455" s="564" t="s">
        <v>548</v>
      </c>
      <c r="C455" s="534"/>
      <c r="D455" s="535"/>
      <c r="E455" s="535"/>
      <c r="F455" s="535"/>
      <c r="G455" s="565">
        <v>3014</v>
      </c>
    </row>
    <row r="456" spans="1:7" ht="12.75" customHeight="1" x14ac:dyDescent="0.2">
      <c r="A456" s="428"/>
      <c r="B456" s="564" t="s">
        <v>481</v>
      </c>
      <c r="C456" s="534"/>
      <c r="D456" s="535"/>
      <c r="E456" s="535"/>
      <c r="F456" s="535"/>
      <c r="G456" s="565" t="s">
        <v>508</v>
      </c>
    </row>
    <row r="457" spans="1:7" ht="12.75" customHeight="1" x14ac:dyDescent="0.2">
      <c r="A457" s="428"/>
      <c r="B457" s="564" t="s">
        <v>482</v>
      </c>
      <c r="C457" s="534"/>
      <c r="D457" s="535"/>
      <c r="E457" s="535"/>
      <c r="F457" s="535"/>
      <c r="G457" s="565" t="s">
        <v>509</v>
      </c>
    </row>
    <row r="458" spans="1:7" ht="12.75" customHeight="1" x14ac:dyDescent="0.2">
      <c r="A458" s="428"/>
      <c r="B458" s="573" t="s">
        <v>50</v>
      </c>
      <c r="C458" s="534"/>
      <c r="D458" s="535">
        <v>993912.97</v>
      </c>
      <c r="E458" s="535"/>
      <c r="F458" s="535"/>
      <c r="G458" s="565"/>
    </row>
    <row r="459" spans="1:7" ht="12.75" customHeight="1" x14ac:dyDescent="0.2">
      <c r="A459" s="428"/>
      <c r="B459" s="564" t="s">
        <v>542</v>
      </c>
      <c r="C459" s="534"/>
      <c r="D459" s="535"/>
      <c r="E459" s="535"/>
      <c r="F459" s="535"/>
      <c r="G459" s="565">
        <v>3029</v>
      </c>
    </row>
    <row r="460" spans="1:7" ht="12.75" customHeight="1" x14ac:dyDescent="0.2">
      <c r="A460" s="428"/>
      <c r="B460" s="564" t="s">
        <v>483</v>
      </c>
      <c r="C460" s="534"/>
      <c r="D460" s="535"/>
      <c r="E460" s="535"/>
      <c r="F460" s="535"/>
      <c r="G460" s="565" t="s">
        <v>510</v>
      </c>
    </row>
    <row r="461" spans="1:7" ht="12.75" customHeight="1" x14ac:dyDescent="0.2">
      <c r="A461" s="428"/>
      <c r="B461" s="564" t="s">
        <v>484</v>
      </c>
      <c r="C461" s="534"/>
      <c r="D461" s="535"/>
      <c r="E461" s="535"/>
      <c r="F461" s="535"/>
      <c r="G461" s="565" t="s">
        <v>511</v>
      </c>
    </row>
    <row r="462" spans="1:7" ht="12.75" customHeight="1" x14ac:dyDescent="0.2">
      <c r="A462" s="428"/>
      <c r="B462" s="564" t="s">
        <v>534</v>
      </c>
      <c r="C462" s="534"/>
      <c r="D462" s="535"/>
      <c r="E462" s="535"/>
      <c r="F462" s="535"/>
      <c r="G462" s="565">
        <v>3034</v>
      </c>
    </row>
    <row r="463" spans="1:7" ht="12.75" customHeight="1" x14ac:dyDescent="0.2">
      <c r="A463" s="428"/>
      <c r="B463" s="564" t="s">
        <v>485</v>
      </c>
      <c r="C463" s="534"/>
      <c r="D463" s="535"/>
      <c r="E463" s="535"/>
      <c r="F463" s="535"/>
      <c r="G463" s="565" t="s">
        <v>512</v>
      </c>
    </row>
    <row r="464" spans="1:7" ht="12.75" customHeight="1" x14ac:dyDescent="0.2">
      <c r="A464" s="428"/>
      <c r="B464" s="564" t="s">
        <v>486</v>
      </c>
      <c r="C464" s="534"/>
      <c r="D464" s="535"/>
      <c r="E464" s="535"/>
      <c r="F464" s="535"/>
      <c r="G464" s="565" t="s">
        <v>513</v>
      </c>
    </row>
    <row r="465" spans="1:7" ht="12.75" customHeight="1" x14ac:dyDescent="0.2">
      <c r="A465" s="428"/>
      <c r="B465" s="564" t="s">
        <v>487</v>
      </c>
      <c r="C465" s="534"/>
      <c r="D465" s="535"/>
      <c r="E465" s="535"/>
      <c r="F465" s="535"/>
      <c r="G465" s="565" t="s">
        <v>514</v>
      </c>
    </row>
    <row r="466" spans="1:7" ht="12.75" customHeight="1" x14ac:dyDescent="0.2">
      <c r="A466" s="428"/>
      <c r="B466" s="564" t="s">
        <v>488</v>
      </c>
      <c r="C466" s="534"/>
      <c r="D466" s="535"/>
      <c r="E466" s="535"/>
      <c r="F466" s="535"/>
      <c r="G466" s="565" t="s">
        <v>515</v>
      </c>
    </row>
    <row r="467" spans="1:7" ht="12.75" customHeight="1" x14ac:dyDescent="0.2">
      <c r="A467" s="428"/>
      <c r="B467" s="564" t="s">
        <v>551</v>
      </c>
      <c r="C467" s="534"/>
      <c r="D467" s="535"/>
      <c r="E467" s="535"/>
      <c r="F467" s="535"/>
      <c r="G467" s="565">
        <v>3039</v>
      </c>
    </row>
    <row r="468" spans="1:7" ht="12.75" customHeight="1" x14ac:dyDescent="0.2">
      <c r="A468" s="428"/>
      <c r="B468" s="564" t="s">
        <v>489</v>
      </c>
      <c r="C468" s="534"/>
      <c r="D468" s="535">
        <v>0</v>
      </c>
      <c r="E468" s="535"/>
      <c r="F468" s="535"/>
      <c r="G468" s="565" t="s">
        <v>516</v>
      </c>
    </row>
    <row r="469" spans="1:7" ht="12.75" customHeight="1" x14ac:dyDescent="0.2">
      <c r="A469" s="428"/>
      <c r="B469" s="564" t="s">
        <v>490</v>
      </c>
      <c r="C469" s="534"/>
      <c r="D469" s="535">
        <v>0</v>
      </c>
      <c r="E469" s="535"/>
      <c r="F469" s="535"/>
      <c r="G469" s="565" t="s">
        <v>517</v>
      </c>
    </row>
    <row r="470" spans="1:7" ht="12.75" customHeight="1" x14ac:dyDescent="0.2">
      <c r="A470" s="428"/>
      <c r="B470" s="564" t="s">
        <v>544</v>
      </c>
      <c r="C470" s="534"/>
      <c r="D470" s="535">
        <v>0</v>
      </c>
      <c r="E470" s="535"/>
      <c r="F470" s="535"/>
      <c r="G470" s="565">
        <v>3042</v>
      </c>
    </row>
    <row r="471" spans="1:7" ht="12.75" customHeight="1" x14ac:dyDescent="0.2">
      <c r="A471" s="428"/>
      <c r="B471" s="564" t="s">
        <v>491</v>
      </c>
      <c r="C471" s="534"/>
      <c r="D471" s="535"/>
      <c r="E471" s="535"/>
      <c r="F471" s="535"/>
      <c r="G471" s="565" t="s">
        <v>518</v>
      </c>
    </row>
    <row r="472" spans="1:7" ht="12.75" customHeight="1" x14ac:dyDescent="0.2">
      <c r="A472" s="428"/>
      <c r="B472" s="564" t="s">
        <v>492</v>
      </c>
      <c r="C472" s="534"/>
      <c r="D472" s="535"/>
      <c r="E472" s="535"/>
      <c r="F472" s="535"/>
      <c r="G472" s="565" t="s">
        <v>519</v>
      </c>
    </row>
    <row r="473" spans="1:7" ht="12.75" customHeight="1" x14ac:dyDescent="0.2">
      <c r="A473" s="428"/>
      <c r="B473" s="564" t="s">
        <v>493</v>
      </c>
      <c r="C473" s="534"/>
      <c r="D473" s="535"/>
      <c r="E473" s="535"/>
      <c r="F473" s="535"/>
      <c r="G473" s="565" t="s">
        <v>520</v>
      </c>
    </row>
    <row r="474" spans="1:7" ht="12.75" customHeight="1" x14ac:dyDescent="0.2">
      <c r="A474" s="428"/>
      <c r="B474" s="564" t="s">
        <v>535</v>
      </c>
      <c r="C474" s="534"/>
      <c r="D474" s="535"/>
      <c r="E474" s="535"/>
      <c r="F474" s="535"/>
      <c r="G474" s="565">
        <v>3048</v>
      </c>
    </row>
    <row r="475" spans="1:7" ht="12.75" customHeight="1" x14ac:dyDescent="0.2">
      <c r="A475" s="428"/>
      <c r="B475" s="564" t="s">
        <v>494</v>
      </c>
      <c r="C475" s="534"/>
      <c r="D475" s="535"/>
      <c r="E475" s="535"/>
      <c r="F475" s="535"/>
      <c r="G475" s="565" t="s">
        <v>521</v>
      </c>
    </row>
    <row r="476" spans="1:7" ht="12.75" customHeight="1" x14ac:dyDescent="0.2">
      <c r="A476" s="428"/>
      <c r="B476" s="564" t="s">
        <v>495</v>
      </c>
      <c r="C476" s="534"/>
      <c r="D476" s="535"/>
      <c r="E476" s="535"/>
      <c r="F476" s="535"/>
      <c r="G476" s="565" t="s">
        <v>522</v>
      </c>
    </row>
    <row r="477" spans="1:7" ht="12.75" customHeight="1" x14ac:dyDescent="0.2">
      <c r="A477" s="428"/>
      <c r="B477" s="564" t="s">
        <v>538</v>
      </c>
      <c r="C477" s="534"/>
      <c r="D477" s="535"/>
      <c r="E477" s="535"/>
      <c r="F477" s="535"/>
      <c r="G477" s="565">
        <v>3051</v>
      </c>
    </row>
    <row r="478" spans="1:7" ht="12.75" customHeight="1" x14ac:dyDescent="0.2">
      <c r="A478" s="428"/>
      <c r="B478" s="564" t="s">
        <v>496</v>
      </c>
      <c r="C478" s="534"/>
      <c r="D478" s="535"/>
      <c r="E478" s="535"/>
      <c r="F478" s="535"/>
      <c r="G478" s="565" t="s">
        <v>523</v>
      </c>
    </row>
    <row r="479" spans="1:7" ht="12.75" customHeight="1" x14ac:dyDescent="0.2">
      <c r="A479" s="428"/>
      <c r="B479" s="564" t="s">
        <v>539</v>
      </c>
      <c r="C479" s="534"/>
      <c r="D479" s="535"/>
      <c r="E479" s="535"/>
      <c r="F479" s="535"/>
      <c r="G479" s="565">
        <v>3056</v>
      </c>
    </row>
    <row r="480" spans="1:7" ht="12.75" customHeight="1" x14ac:dyDescent="0.2">
      <c r="A480" s="428"/>
      <c r="B480" s="564" t="s">
        <v>497</v>
      </c>
      <c r="C480" s="534"/>
      <c r="D480" s="535"/>
      <c r="E480" s="535"/>
      <c r="F480" s="535"/>
      <c r="G480" s="565">
        <v>3057</v>
      </c>
    </row>
    <row r="481" spans="1:8" ht="12.75" customHeight="1" x14ac:dyDescent="0.2">
      <c r="A481" s="428"/>
      <c r="B481" s="564" t="s">
        <v>498</v>
      </c>
      <c r="C481" s="534"/>
      <c r="D481" s="535"/>
      <c r="E481" s="535"/>
      <c r="F481" s="535"/>
      <c r="G481" s="565" t="s">
        <v>525</v>
      </c>
    </row>
    <row r="482" spans="1:8" ht="12.75" customHeight="1" x14ac:dyDescent="0.2">
      <c r="A482" s="428"/>
      <c r="B482" s="564" t="s">
        <v>499</v>
      </c>
      <c r="C482" s="534"/>
      <c r="D482" s="535"/>
      <c r="E482" s="535"/>
      <c r="F482" s="535"/>
      <c r="G482" s="565" t="s">
        <v>526</v>
      </c>
    </row>
    <row r="483" spans="1:8" ht="12.75" customHeight="1" x14ac:dyDescent="0.2">
      <c r="A483" s="428"/>
      <c r="B483" s="564" t="s">
        <v>536</v>
      </c>
      <c r="C483" s="534"/>
      <c r="D483" s="535"/>
      <c r="E483" s="535"/>
      <c r="F483" s="535"/>
      <c r="G483" s="565">
        <v>3061</v>
      </c>
    </row>
    <row r="484" spans="1:8" ht="12.75" customHeight="1" x14ac:dyDescent="0.2">
      <c r="A484" s="428"/>
      <c r="B484" s="564" t="s">
        <v>545</v>
      </c>
      <c r="C484" s="534"/>
      <c r="D484" s="535">
        <v>0</v>
      </c>
      <c r="E484" s="535"/>
      <c r="F484" s="535"/>
      <c r="G484" s="565">
        <v>3063</v>
      </c>
    </row>
    <row r="485" spans="1:8" ht="12.75" customHeight="1" x14ac:dyDescent="0.2">
      <c r="A485" s="428"/>
      <c r="B485" s="564" t="s">
        <v>500</v>
      </c>
      <c r="C485" s="534"/>
      <c r="D485" s="535">
        <v>0</v>
      </c>
      <c r="E485" s="535"/>
      <c r="F485" s="535"/>
      <c r="G485" s="565" t="s">
        <v>527</v>
      </c>
    </row>
    <row r="486" spans="1:8" ht="12.75" customHeight="1" x14ac:dyDescent="0.2">
      <c r="A486" s="428"/>
      <c r="B486" s="564" t="s">
        <v>501</v>
      </c>
      <c r="C486" s="534"/>
      <c r="D486" s="535">
        <v>0</v>
      </c>
      <c r="E486" s="535"/>
      <c r="F486" s="535"/>
      <c r="G486" s="565" t="s">
        <v>528</v>
      </c>
    </row>
    <row r="487" spans="1:8" ht="12.75" customHeight="1" x14ac:dyDescent="0.2">
      <c r="A487" s="428"/>
      <c r="B487" s="564" t="s">
        <v>502</v>
      </c>
      <c r="C487" s="534"/>
      <c r="D487" s="535"/>
      <c r="E487" s="535"/>
      <c r="F487" s="535"/>
      <c r="G487" s="565" t="s">
        <v>529</v>
      </c>
      <c r="H487" s="537"/>
    </row>
    <row r="488" spans="1:8" ht="12.75" customHeight="1" x14ac:dyDescent="0.2">
      <c r="A488" s="428"/>
      <c r="B488" s="564" t="s">
        <v>503</v>
      </c>
      <c r="C488" s="534"/>
      <c r="D488" s="535">
        <v>0</v>
      </c>
      <c r="E488" s="535"/>
      <c r="F488" s="535"/>
      <c r="G488" s="565">
        <v>3068</v>
      </c>
      <c r="H488" s="537"/>
    </row>
    <row r="489" spans="1:8" ht="12.75" customHeight="1" x14ac:dyDescent="0.2">
      <c r="A489" s="428"/>
      <c r="B489" s="564" t="s">
        <v>504</v>
      </c>
      <c r="C489" s="534"/>
      <c r="D489" s="535"/>
      <c r="E489" s="535"/>
      <c r="F489" s="535"/>
      <c r="G489" s="565">
        <v>3069</v>
      </c>
      <c r="H489" s="537"/>
    </row>
    <row r="490" spans="1:8" ht="12.75" customHeight="1" x14ac:dyDescent="0.2">
      <c r="A490" s="428"/>
      <c r="B490" s="564" t="s">
        <v>540</v>
      </c>
      <c r="C490" s="534"/>
      <c r="D490" s="535">
        <v>0</v>
      </c>
      <c r="E490" s="535"/>
      <c r="F490" s="535"/>
      <c r="G490" s="565">
        <v>3073</v>
      </c>
    </row>
    <row r="491" spans="1:8" ht="12.75" customHeight="1" x14ac:dyDescent="0.2">
      <c r="A491" s="428"/>
      <c r="B491" s="567" t="s">
        <v>252</v>
      </c>
      <c r="D491" s="535">
        <v>425591.31</v>
      </c>
      <c r="E491" s="566">
        <f>SUM(D491)</f>
        <v>425591.31</v>
      </c>
      <c r="F491" s="535"/>
      <c r="G491" s="525">
        <v>3001</v>
      </c>
      <c r="H491" s="537"/>
    </row>
    <row r="492" spans="1:8" ht="12.75" customHeight="1" x14ac:dyDescent="0.2">
      <c r="A492" s="428"/>
      <c r="B492" s="568" t="s">
        <v>377</v>
      </c>
      <c r="C492" s="539"/>
      <c r="D492" s="535"/>
      <c r="E492" s="566">
        <f>SUM(D493:D498)</f>
        <v>1666345.9100000001</v>
      </c>
      <c r="F492" s="535"/>
    </row>
    <row r="493" spans="1:8" ht="12.75" customHeight="1" x14ac:dyDescent="0.2">
      <c r="A493" s="428"/>
      <c r="B493" s="536"/>
      <c r="C493" s="538" t="s">
        <v>253</v>
      </c>
      <c r="D493" s="535">
        <v>140442.54999999999</v>
      </c>
      <c r="E493" s="535"/>
      <c r="F493" s="535"/>
      <c r="G493" s="525">
        <v>4000</v>
      </c>
    </row>
    <row r="494" spans="1:8" ht="12.75" customHeight="1" x14ac:dyDescent="0.2">
      <c r="A494" s="428"/>
      <c r="B494" s="536"/>
      <c r="C494" s="538" t="s">
        <v>254</v>
      </c>
      <c r="D494" s="535">
        <v>1.99</v>
      </c>
      <c r="E494" s="535"/>
      <c r="F494" s="535"/>
      <c r="G494" s="525">
        <v>4001</v>
      </c>
    </row>
    <row r="495" spans="1:8" ht="12.75" customHeight="1" x14ac:dyDescent="0.2">
      <c r="A495" s="428"/>
      <c r="B495" s="536"/>
      <c r="C495" s="538" t="s">
        <v>255</v>
      </c>
      <c r="D495" s="535">
        <v>1292192.46</v>
      </c>
      <c r="E495" s="535"/>
      <c r="F495" s="535"/>
    </row>
    <row r="496" spans="1:8" ht="12.75" customHeight="1" x14ac:dyDescent="0.2">
      <c r="A496" s="428"/>
      <c r="B496" s="536"/>
      <c r="C496" s="538" t="s">
        <v>256</v>
      </c>
      <c r="D496" s="535">
        <v>4341.33</v>
      </c>
      <c r="E496" s="535"/>
      <c r="F496" s="535"/>
    </row>
    <row r="497" spans="1:9" ht="12.75" customHeight="1" x14ac:dyDescent="0.2">
      <c r="A497" s="428"/>
      <c r="B497" s="536"/>
      <c r="C497" s="539" t="s">
        <v>257</v>
      </c>
      <c r="D497" s="535">
        <v>74686.53</v>
      </c>
      <c r="E497" s="535"/>
      <c r="F497" s="535"/>
    </row>
    <row r="498" spans="1:9" ht="12.75" customHeight="1" x14ac:dyDescent="0.2">
      <c r="A498" s="428"/>
      <c r="B498" s="536"/>
      <c r="C498" s="539" t="s">
        <v>115</v>
      </c>
      <c r="D498" s="535">
        <v>154681.04999999999</v>
      </c>
      <c r="E498" s="535"/>
      <c r="F498" s="535"/>
    </row>
    <row r="499" spans="1:9" ht="12.75" customHeight="1" x14ac:dyDescent="0.2">
      <c r="A499" s="540"/>
      <c r="B499" s="568" t="s">
        <v>702</v>
      </c>
      <c r="C499" s="539"/>
      <c r="D499" s="535">
        <v>-45834.63</v>
      </c>
      <c r="E499" s="566">
        <f>D499</f>
        <v>-45834.63</v>
      </c>
      <c r="F499" s="543"/>
    </row>
    <row r="500" spans="1:9" ht="12.75" customHeight="1" x14ac:dyDescent="0.2">
      <c r="A500" s="540"/>
      <c r="B500" s="570" t="s">
        <v>259</v>
      </c>
      <c r="D500" s="535">
        <v>0</v>
      </c>
      <c r="E500" s="569">
        <f>D500</f>
        <v>0</v>
      </c>
      <c r="F500" s="543"/>
      <c r="G500" s="525">
        <v>5000</v>
      </c>
      <c r="H500" s="619"/>
    </row>
    <row r="501" spans="1:9" ht="12.75" customHeight="1" thickBot="1" x14ac:dyDescent="0.25">
      <c r="A501" s="544"/>
      <c r="B501" s="545"/>
      <c r="C501" s="546"/>
      <c r="D501" s="547"/>
      <c r="E501" s="548"/>
      <c r="F501" s="736">
        <f>SUM(E448:E500)-H500</f>
        <v>3412995.2300000004</v>
      </c>
      <c r="H501" s="549">
        <f>'Sched-B1'!B13+'Sched-B2'!E173+'Sched-D1'!F501-22996652.49-993912.97</f>
        <v>2.5611370801925659E-9</v>
      </c>
    </row>
    <row r="502" spans="1:9" ht="12.75" customHeight="1" x14ac:dyDescent="0.2">
      <c r="A502" s="530" t="s">
        <v>547</v>
      </c>
      <c r="B502" s="685" t="s">
        <v>703</v>
      </c>
      <c r="C502" s="531"/>
      <c r="D502" s="532"/>
      <c r="E502" s="533">
        <v>12257.16</v>
      </c>
      <c r="F502" s="533"/>
      <c r="G502" s="495" t="s">
        <v>705</v>
      </c>
    </row>
    <row r="503" spans="1:9" ht="12.75" customHeight="1" x14ac:dyDescent="0.2">
      <c r="A503" s="428"/>
      <c r="B503" s="562" t="s">
        <v>477</v>
      </c>
      <c r="C503" s="534"/>
      <c r="D503" s="535">
        <v>388805.87</v>
      </c>
      <c r="E503" s="566">
        <f>SUM(D503:D545)</f>
        <v>1329472.8799999999</v>
      </c>
      <c r="F503" s="535"/>
    </row>
    <row r="504" spans="1:9" ht="12.75" customHeight="1" x14ac:dyDescent="0.2">
      <c r="A504" s="428"/>
      <c r="B504" s="573" t="s">
        <v>861</v>
      </c>
      <c r="C504" s="534"/>
      <c r="D504" s="822"/>
      <c r="E504" s="566"/>
      <c r="F504" s="535"/>
      <c r="H504" s="619">
        <v>23194.9</v>
      </c>
      <c r="I504" s="525" t="s">
        <v>844</v>
      </c>
    </row>
    <row r="505" spans="1:9" ht="12.75" customHeight="1" x14ac:dyDescent="0.2">
      <c r="A505" s="428"/>
      <c r="B505" s="564" t="s">
        <v>478</v>
      </c>
      <c r="C505" s="534"/>
      <c r="D505" s="535"/>
      <c r="E505" s="535"/>
      <c r="F505" s="535"/>
      <c r="G505" s="565" t="s">
        <v>505</v>
      </c>
    </row>
    <row r="506" spans="1:9" ht="12.75" customHeight="1" x14ac:dyDescent="0.2">
      <c r="A506" s="428"/>
      <c r="B506" s="564" t="s">
        <v>479</v>
      </c>
      <c r="C506" s="534"/>
      <c r="D506" s="535"/>
      <c r="E506" s="535"/>
      <c r="F506" s="535"/>
      <c r="G506" s="565" t="s">
        <v>506</v>
      </c>
    </row>
    <row r="507" spans="1:9" ht="12.75" customHeight="1" x14ac:dyDescent="0.2">
      <c r="A507" s="428"/>
      <c r="B507" s="564" t="s">
        <v>537</v>
      </c>
      <c r="C507" s="534"/>
      <c r="D507" s="535"/>
      <c r="E507" s="535"/>
      <c r="F507" s="535"/>
      <c r="G507" s="565">
        <v>3003</v>
      </c>
    </row>
    <row r="508" spans="1:9" ht="12.75" customHeight="1" x14ac:dyDescent="0.2">
      <c r="A508" s="428"/>
      <c r="B508" s="564" t="s">
        <v>480</v>
      </c>
      <c r="C508" s="534"/>
      <c r="D508" s="535"/>
      <c r="E508" s="535"/>
      <c r="F508" s="535"/>
      <c r="G508" s="565" t="s">
        <v>507</v>
      </c>
    </row>
    <row r="509" spans="1:9" ht="12.75" customHeight="1" x14ac:dyDescent="0.2">
      <c r="A509" s="428"/>
      <c r="B509" s="564" t="s">
        <v>548</v>
      </c>
      <c r="C509" s="534"/>
      <c r="D509" s="535"/>
      <c r="E509" s="535"/>
      <c r="F509" s="535"/>
      <c r="G509" s="565">
        <v>3014</v>
      </c>
    </row>
    <row r="510" spans="1:9" ht="12.75" customHeight="1" x14ac:dyDescent="0.2">
      <c r="A510" s="428"/>
      <c r="B510" s="564" t="s">
        <v>481</v>
      </c>
      <c r="C510" s="534"/>
      <c r="D510" s="535"/>
      <c r="E510" s="535"/>
      <c r="F510" s="535"/>
      <c r="G510" s="565" t="s">
        <v>508</v>
      </c>
    </row>
    <row r="511" spans="1:9" ht="12.75" customHeight="1" x14ac:dyDescent="0.2">
      <c r="A511" s="428"/>
      <c r="B511" s="564" t="s">
        <v>482</v>
      </c>
      <c r="C511" s="534"/>
      <c r="D511" s="535"/>
      <c r="E511" s="535"/>
      <c r="F511" s="535"/>
      <c r="G511" s="565" t="s">
        <v>509</v>
      </c>
    </row>
    <row r="512" spans="1:9" ht="12.75" customHeight="1" x14ac:dyDescent="0.2">
      <c r="A512" s="428"/>
      <c r="B512" s="573" t="s">
        <v>50</v>
      </c>
      <c r="C512" s="534"/>
      <c r="D512" s="535">
        <v>940667.01</v>
      </c>
      <c r="E512" s="535"/>
      <c r="F512" s="535"/>
      <c r="G512" s="565"/>
    </row>
    <row r="513" spans="1:7" ht="12.75" customHeight="1" x14ac:dyDescent="0.2">
      <c r="A513" s="428"/>
      <c r="B513" s="564" t="s">
        <v>552</v>
      </c>
      <c r="C513" s="534"/>
      <c r="D513" s="535"/>
      <c r="E513" s="535"/>
      <c r="F513" s="535"/>
      <c r="G513" s="565">
        <v>3027</v>
      </c>
    </row>
    <row r="514" spans="1:7" ht="12.75" customHeight="1" x14ac:dyDescent="0.2">
      <c r="A514" s="428"/>
      <c r="B514" s="564" t="s">
        <v>542</v>
      </c>
      <c r="C514" s="534"/>
      <c r="D514" s="535"/>
      <c r="E514" s="535"/>
      <c r="F514" s="535"/>
      <c r="G514" s="565">
        <v>3029</v>
      </c>
    </row>
    <row r="515" spans="1:7" ht="12.75" customHeight="1" x14ac:dyDescent="0.2">
      <c r="A515" s="428"/>
      <c r="B515" s="564" t="s">
        <v>483</v>
      </c>
      <c r="C515" s="534"/>
      <c r="D515" s="535"/>
      <c r="E515" s="535"/>
      <c r="F515" s="535"/>
      <c r="G515" s="565" t="s">
        <v>510</v>
      </c>
    </row>
    <row r="516" spans="1:7" ht="12.75" customHeight="1" x14ac:dyDescent="0.2">
      <c r="A516" s="428"/>
      <c r="B516" s="564" t="s">
        <v>484</v>
      </c>
      <c r="C516" s="534"/>
      <c r="D516" s="535"/>
      <c r="E516" s="535"/>
      <c r="F516" s="535"/>
      <c r="G516" s="565" t="s">
        <v>511</v>
      </c>
    </row>
    <row r="517" spans="1:7" ht="12.75" customHeight="1" x14ac:dyDescent="0.2">
      <c r="A517" s="428"/>
      <c r="B517" s="564" t="s">
        <v>534</v>
      </c>
      <c r="C517" s="534"/>
      <c r="D517" s="535"/>
      <c r="E517" s="535"/>
      <c r="F517" s="535"/>
      <c r="G517" s="565">
        <v>3034</v>
      </c>
    </row>
    <row r="518" spans="1:7" ht="12.75" customHeight="1" x14ac:dyDescent="0.2">
      <c r="A518" s="428"/>
      <c r="B518" s="564" t="s">
        <v>485</v>
      </c>
      <c r="C518" s="534"/>
      <c r="D518" s="535"/>
      <c r="E518" s="535"/>
      <c r="F518" s="535"/>
      <c r="G518" s="565" t="s">
        <v>512</v>
      </c>
    </row>
    <row r="519" spans="1:7" ht="12.75" customHeight="1" x14ac:dyDescent="0.2">
      <c r="A519" s="428"/>
      <c r="B519" s="564" t="s">
        <v>486</v>
      </c>
      <c r="C519" s="534"/>
      <c r="D519" s="535"/>
      <c r="E519" s="535"/>
      <c r="F519" s="535"/>
      <c r="G519" s="565" t="s">
        <v>513</v>
      </c>
    </row>
    <row r="520" spans="1:7" ht="12.75" customHeight="1" x14ac:dyDescent="0.2">
      <c r="A520" s="428"/>
      <c r="B520" s="564" t="s">
        <v>487</v>
      </c>
      <c r="C520" s="534"/>
      <c r="D520" s="535"/>
      <c r="E520" s="535"/>
      <c r="F520" s="535"/>
      <c r="G520" s="565" t="s">
        <v>514</v>
      </c>
    </row>
    <row r="521" spans="1:7" ht="12.75" customHeight="1" x14ac:dyDescent="0.2">
      <c r="A521" s="428"/>
      <c r="B521" s="564" t="s">
        <v>488</v>
      </c>
      <c r="C521" s="534"/>
      <c r="D521" s="535"/>
      <c r="E521" s="535"/>
      <c r="F521" s="535"/>
      <c r="G521" s="565" t="s">
        <v>515</v>
      </c>
    </row>
    <row r="522" spans="1:7" ht="12.75" customHeight="1" x14ac:dyDescent="0.2">
      <c r="A522" s="428"/>
      <c r="B522" s="564" t="s">
        <v>489</v>
      </c>
      <c r="C522" s="534"/>
      <c r="D522" s="535"/>
      <c r="E522" s="535"/>
      <c r="F522" s="535"/>
      <c r="G522" s="565" t="s">
        <v>516</v>
      </c>
    </row>
    <row r="523" spans="1:7" ht="12.75" customHeight="1" x14ac:dyDescent="0.2">
      <c r="A523" s="428"/>
      <c r="B523" s="564" t="s">
        <v>490</v>
      </c>
      <c r="C523" s="534"/>
      <c r="D523" s="535"/>
      <c r="E523" s="535"/>
      <c r="F523" s="535"/>
      <c r="G523" s="565" t="s">
        <v>517</v>
      </c>
    </row>
    <row r="524" spans="1:7" ht="12.75" customHeight="1" x14ac:dyDescent="0.2">
      <c r="A524" s="428"/>
      <c r="B524" s="564" t="s">
        <v>544</v>
      </c>
      <c r="C524" s="534"/>
      <c r="D524" s="535"/>
      <c r="E524" s="535"/>
      <c r="F524" s="535"/>
      <c r="G524" s="565">
        <v>3042</v>
      </c>
    </row>
    <row r="525" spans="1:7" ht="12.75" customHeight="1" x14ac:dyDescent="0.2">
      <c r="A525" s="428"/>
      <c r="B525" s="564" t="s">
        <v>491</v>
      </c>
      <c r="C525" s="534"/>
      <c r="D525" s="535"/>
      <c r="E525" s="535"/>
      <c r="F525" s="535"/>
      <c r="G525" s="565" t="s">
        <v>518</v>
      </c>
    </row>
    <row r="526" spans="1:7" ht="12.75" customHeight="1" x14ac:dyDescent="0.2">
      <c r="A526" s="428"/>
      <c r="B526" s="564" t="s">
        <v>492</v>
      </c>
      <c r="C526" s="534"/>
      <c r="D526" s="535"/>
      <c r="E526" s="535"/>
      <c r="F526" s="535"/>
      <c r="G526" s="565" t="s">
        <v>519</v>
      </c>
    </row>
    <row r="527" spans="1:7" ht="12.75" customHeight="1" x14ac:dyDescent="0.2">
      <c r="A527" s="428"/>
      <c r="B527" s="564" t="s">
        <v>493</v>
      </c>
      <c r="C527" s="534"/>
      <c r="D527" s="535"/>
      <c r="E527" s="535"/>
      <c r="F527" s="535"/>
      <c r="G527" s="565" t="s">
        <v>520</v>
      </c>
    </row>
    <row r="528" spans="1:7" ht="12.75" customHeight="1" x14ac:dyDescent="0.2">
      <c r="A528" s="428"/>
      <c r="B528" s="564" t="s">
        <v>535</v>
      </c>
      <c r="C528" s="534"/>
      <c r="D528" s="535"/>
      <c r="E528" s="535"/>
      <c r="F528" s="535"/>
      <c r="G528" s="565">
        <v>3048</v>
      </c>
    </row>
    <row r="529" spans="1:8" ht="12.75" customHeight="1" x14ac:dyDescent="0.2">
      <c r="A529" s="428"/>
      <c r="B529" s="564" t="s">
        <v>494</v>
      </c>
      <c r="C529" s="534"/>
      <c r="D529" s="535"/>
      <c r="E529" s="535"/>
      <c r="F529" s="535"/>
      <c r="G529" s="565" t="s">
        <v>521</v>
      </c>
    </row>
    <row r="530" spans="1:8" ht="12.75" customHeight="1" x14ac:dyDescent="0.2">
      <c r="A530" s="428"/>
      <c r="B530" s="564" t="s">
        <v>495</v>
      </c>
      <c r="C530" s="534"/>
      <c r="D530" s="535"/>
      <c r="E530" s="535"/>
      <c r="F530" s="535"/>
      <c r="G530" s="565" t="s">
        <v>522</v>
      </c>
    </row>
    <row r="531" spans="1:8" ht="12.75" customHeight="1" x14ac:dyDescent="0.2">
      <c r="A531" s="428"/>
      <c r="B531" s="564" t="s">
        <v>538</v>
      </c>
      <c r="C531" s="534"/>
      <c r="D531" s="535"/>
      <c r="E531" s="535"/>
      <c r="F531" s="535"/>
      <c r="G531" s="565">
        <v>3051</v>
      </c>
    </row>
    <row r="532" spans="1:8" ht="12.75" customHeight="1" x14ac:dyDescent="0.2">
      <c r="A532" s="428"/>
      <c r="B532" s="564" t="s">
        <v>496</v>
      </c>
      <c r="C532" s="534"/>
      <c r="D532" s="535"/>
      <c r="E532" s="535"/>
      <c r="F532" s="535"/>
      <c r="G532" s="565" t="s">
        <v>523</v>
      </c>
    </row>
    <row r="533" spans="1:8" ht="12.75" customHeight="1" x14ac:dyDescent="0.2">
      <c r="A533" s="428"/>
      <c r="B533" s="564" t="s">
        <v>539</v>
      </c>
      <c r="C533" s="534"/>
      <c r="D533" s="535"/>
      <c r="E533" s="535"/>
      <c r="F533" s="535"/>
      <c r="G533" s="565">
        <v>3056</v>
      </c>
    </row>
    <row r="534" spans="1:8" ht="12.75" customHeight="1" x14ac:dyDescent="0.2">
      <c r="A534" s="428"/>
      <c r="B534" s="564" t="s">
        <v>497</v>
      </c>
      <c r="C534" s="534"/>
      <c r="D534" s="535"/>
      <c r="E534" s="535"/>
      <c r="F534" s="535"/>
      <c r="G534" s="565">
        <v>3057</v>
      </c>
    </row>
    <row r="535" spans="1:8" ht="12.75" customHeight="1" x14ac:dyDescent="0.2">
      <c r="A535" s="428"/>
      <c r="B535" s="564" t="s">
        <v>498</v>
      </c>
      <c r="C535" s="534"/>
      <c r="D535" s="535"/>
      <c r="E535" s="535"/>
      <c r="F535" s="535"/>
      <c r="G535" s="565" t="s">
        <v>525</v>
      </c>
    </row>
    <row r="536" spans="1:8" ht="12.75" customHeight="1" x14ac:dyDescent="0.2">
      <c r="A536" s="428"/>
      <c r="B536" s="564" t="s">
        <v>499</v>
      </c>
      <c r="C536" s="534"/>
      <c r="D536" s="535"/>
      <c r="E536" s="535"/>
      <c r="F536" s="535"/>
      <c r="G536" s="565" t="s">
        <v>526</v>
      </c>
    </row>
    <row r="537" spans="1:8" ht="12.75" customHeight="1" x14ac:dyDescent="0.2">
      <c r="A537" s="428"/>
      <c r="B537" s="564" t="s">
        <v>536</v>
      </c>
      <c r="C537" s="534"/>
      <c r="D537" s="535"/>
      <c r="E537" s="535"/>
      <c r="F537" s="535"/>
      <c r="G537" s="565">
        <v>3061</v>
      </c>
    </row>
    <row r="538" spans="1:8" ht="12.75" customHeight="1" x14ac:dyDescent="0.2">
      <c r="A538" s="428"/>
      <c r="B538" s="564" t="s">
        <v>545</v>
      </c>
      <c r="C538" s="534"/>
      <c r="D538" s="535">
        <v>0</v>
      </c>
      <c r="E538" s="535"/>
      <c r="F538" s="535"/>
      <c r="G538" s="565">
        <v>3063</v>
      </c>
    </row>
    <row r="539" spans="1:8" ht="12.75" customHeight="1" x14ac:dyDescent="0.2">
      <c r="A539" s="428"/>
      <c r="B539" s="564" t="s">
        <v>500</v>
      </c>
      <c r="C539" s="534"/>
      <c r="D539" s="535">
        <v>0</v>
      </c>
      <c r="E539" s="535"/>
      <c r="F539" s="535"/>
      <c r="G539" s="565" t="s">
        <v>527</v>
      </c>
    </row>
    <row r="540" spans="1:8" ht="12.75" customHeight="1" x14ac:dyDescent="0.2">
      <c r="A540" s="428"/>
      <c r="B540" s="564" t="s">
        <v>549</v>
      </c>
      <c r="C540" s="534"/>
      <c r="D540" s="535"/>
      <c r="E540" s="535"/>
      <c r="F540" s="535"/>
      <c r="G540" s="565">
        <v>3065</v>
      </c>
    </row>
    <row r="541" spans="1:8" ht="12.75" customHeight="1" x14ac:dyDescent="0.2">
      <c r="A541" s="428"/>
      <c r="B541" s="564" t="s">
        <v>501</v>
      </c>
      <c r="C541" s="534"/>
      <c r="D541" s="535"/>
      <c r="E541" s="535"/>
      <c r="F541" s="535"/>
      <c r="G541" s="565">
        <v>3066</v>
      </c>
    </row>
    <row r="542" spans="1:8" ht="12.75" customHeight="1" x14ac:dyDescent="0.2">
      <c r="A542" s="428"/>
      <c r="B542" s="564" t="s">
        <v>502</v>
      </c>
      <c r="C542" s="534"/>
      <c r="D542" s="535"/>
      <c r="E542" s="535"/>
      <c r="F542" s="535"/>
      <c r="G542" s="565" t="s">
        <v>529</v>
      </c>
      <c r="H542" s="537"/>
    </row>
    <row r="543" spans="1:8" ht="12.75" customHeight="1" x14ac:dyDescent="0.2">
      <c r="A543" s="428"/>
      <c r="B543" s="564" t="s">
        <v>503</v>
      </c>
      <c r="C543" s="534"/>
      <c r="D543" s="535"/>
      <c r="E543" s="535"/>
      <c r="F543" s="535"/>
      <c r="G543" s="565">
        <v>3068</v>
      </c>
      <c r="H543" s="537"/>
    </row>
    <row r="544" spans="1:8" ht="12.75" customHeight="1" x14ac:dyDescent="0.2">
      <c r="A544" s="428"/>
      <c r="B544" s="564" t="s">
        <v>504</v>
      </c>
      <c r="C544" s="534"/>
      <c r="D544" s="535"/>
      <c r="E544" s="535"/>
      <c r="F544" s="535"/>
      <c r="G544" s="565">
        <v>3069</v>
      </c>
      <c r="H544" s="537"/>
    </row>
    <row r="545" spans="1:8" ht="12.75" customHeight="1" x14ac:dyDescent="0.2">
      <c r="A545" s="428"/>
      <c r="B545" s="564" t="s">
        <v>540</v>
      </c>
      <c r="C545" s="534"/>
      <c r="D545" s="535"/>
      <c r="E545" s="535"/>
      <c r="F545" s="535"/>
      <c r="G545" s="565">
        <v>3073</v>
      </c>
    </row>
    <row r="546" spans="1:8" ht="12.75" customHeight="1" x14ac:dyDescent="0.2">
      <c r="A546" s="428"/>
      <c r="B546" s="567" t="s">
        <v>252</v>
      </c>
      <c r="D546" s="535">
        <v>357359.32</v>
      </c>
      <c r="E546" s="566">
        <f>SUM(D546)</f>
        <v>357359.32</v>
      </c>
      <c r="F546" s="535"/>
      <c r="G546" s="525">
        <v>3001</v>
      </c>
      <c r="H546" s="537" t="s">
        <v>812</v>
      </c>
    </row>
    <row r="547" spans="1:8" ht="12.75" customHeight="1" x14ac:dyDescent="0.2">
      <c r="A547" s="428"/>
      <c r="B547" s="568" t="s">
        <v>377</v>
      </c>
      <c r="C547" s="539"/>
      <c r="D547" s="535"/>
      <c r="E547" s="566">
        <f>SUM(D548:D553)</f>
        <v>1181239.1200000001</v>
      </c>
      <c r="F547" s="535"/>
    </row>
    <row r="548" spans="1:8" ht="12.75" customHeight="1" x14ac:dyDescent="0.2">
      <c r="A548" s="428"/>
      <c r="B548" s="536"/>
      <c r="C548" s="538" t="s">
        <v>253</v>
      </c>
      <c r="D548" s="535">
        <v>35408.22</v>
      </c>
      <c r="E548" s="535"/>
      <c r="F548" s="535"/>
      <c r="G548" s="525">
        <v>4000</v>
      </c>
    </row>
    <row r="549" spans="1:8" ht="12.75" customHeight="1" x14ac:dyDescent="0.2">
      <c r="A549" s="428"/>
      <c r="B549" s="536"/>
      <c r="C549" s="538" t="s">
        <v>254</v>
      </c>
      <c r="D549" s="535">
        <v>2290.8000000000002</v>
      </c>
      <c r="E549" s="535"/>
      <c r="F549" s="535"/>
      <c r="G549" s="525">
        <v>4001</v>
      </c>
    </row>
    <row r="550" spans="1:8" ht="12.75" customHeight="1" x14ac:dyDescent="0.2">
      <c r="A550" s="428"/>
      <c r="B550" s="536"/>
      <c r="C550" s="538" t="s">
        <v>255</v>
      </c>
      <c r="D550" s="535">
        <v>968102.76</v>
      </c>
      <c r="E550" s="535"/>
      <c r="F550" s="535"/>
    </row>
    <row r="551" spans="1:8" ht="12.75" customHeight="1" x14ac:dyDescent="0.2">
      <c r="A551" s="428"/>
      <c r="B551" s="536"/>
      <c r="C551" s="538" t="s">
        <v>256</v>
      </c>
      <c r="D551" s="535">
        <v>8495.93</v>
      </c>
      <c r="E551" s="535"/>
      <c r="F551" s="535"/>
    </row>
    <row r="552" spans="1:8" ht="12.75" customHeight="1" x14ac:dyDescent="0.2">
      <c r="A552" s="428"/>
      <c r="B552" s="536"/>
      <c r="C552" s="539" t="s">
        <v>257</v>
      </c>
      <c r="D552" s="535">
        <v>34115.83</v>
      </c>
      <c r="E552" s="535"/>
      <c r="F552" s="535"/>
    </row>
    <row r="553" spans="1:8" ht="12.75" customHeight="1" x14ac:dyDescent="0.2">
      <c r="A553" s="428"/>
      <c r="B553" s="536"/>
      <c r="C553" s="539" t="s">
        <v>115</v>
      </c>
      <c r="D553" s="535">
        <v>132825.57999999999</v>
      </c>
      <c r="E553" s="535"/>
      <c r="F553" s="535"/>
    </row>
    <row r="554" spans="1:8" ht="12.75" customHeight="1" x14ac:dyDescent="0.2">
      <c r="A554" s="540"/>
      <c r="B554" s="568" t="s">
        <v>702</v>
      </c>
      <c r="C554" s="539"/>
      <c r="D554" s="535">
        <v>-25683.46</v>
      </c>
      <c r="E554" s="566">
        <f>D554</f>
        <v>-25683.46</v>
      </c>
      <c r="F554" s="543"/>
    </row>
    <row r="555" spans="1:8" ht="12.75" customHeight="1" x14ac:dyDescent="0.2">
      <c r="A555" s="540"/>
      <c r="B555" s="570" t="s">
        <v>259</v>
      </c>
      <c r="D555" s="535"/>
      <c r="E555" s="569">
        <f>D555</f>
        <v>0</v>
      </c>
      <c r="F555" s="543"/>
      <c r="G555" s="525">
        <v>5000</v>
      </c>
    </row>
    <row r="556" spans="1:8" ht="12.75" customHeight="1" thickBot="1" x14ac:dyDescent="0.25">
      <c r="A556" s="544"/>
      <c r="B556" s="545"/>
      <c r="C556" s="546"/>
      <c r="D556" s="547"/>
      <c r="E556" s="548"/>
      <c r="F556" s="736">
        <f>SUM(E502:E555)</f>
        <v>2854645.02</v>
      </c>
      <c r="H556" s="549">
        <f>'Sched-B1'!B14+'Sched-B2'!E190+'Sched-D1'!F556-14991228.59-940667.01</f>
        <v>0</v>
      </c>
    </row>
    <row r="557" spans="1:8" ht="12.75" customHeight="1" x14ac:dyDescent="0.2">
      <c r="A557" s="530" t="s">
        <v>72</v>
      </c>
      <c r="B557" s="685" t="s">
        <v>703</v>
      </c>
      <c r="C557" s="531"/>
      <c r="D557" s="532"/>
      <c r="E557" s="533">
        <v>17494.87</v>
      </c>
      <c r="F557" s="533"/>
    </row>
    <row r="558" spans="1:8" ht="12.75" customHeight="1" x14ac:dyDescent="0.2">
      <c r="A558" s="428"/>
      <c r="B558" s="562" t="s">
        <v>477</v>
      </c>
      <c r="C558" s="534"/>
      <c r="D558" s="535">
        <v>166867.12</v>
      </c>
      <c r="E558" s="566">
        <f>SUM(D558:D595)</f>
        <v>616767.53</v>
      </c>
      <c r="F558" s="535"/>
      <c r="H558" s="537"/>
    </row>
    <row r="559" spans="1:8" ht="12.75" customHeight="1" x14ac:dyDescent="0.2">
      <c r="A559" s="428"/>
      <c r="B559" s="575" t="s">
        <v>222</v>
      </c>
      <c r="C559" s="471"/>
      <c r="D559" s="821">
        <v>-80358.990000000005</v>
      </c>
      <c r="E559" s="535"/>
      <c r="F559" s="535"/>
      <c r="H559" s="525" t="s">
        <v>813</v>
      </c>
    </row>
    <row r="560" spans="1:8" ht="12.75" customHeight="1" x14ac:dyDescent="0.2">
      <c r="A560" s="428"/>
      <c r="B560" s="564" t="s">
        <v>478</v>
      </c>
      <c r="C560" s="534"/>
      <c r="D560" s="535"/>
      <c r="E560" s="535"/>
      <c r="F560" s="535"/>
      <c r="G560" s="565" t="s">
        <v>505</v>
      </c>
      <c r="H560" s="537"/>
    </row>
    <row r="561" spans="1:7" ht="12.75" customHeight="1" x14ac:dyDescent="0.2">
      <c r="A561" s="428"/>
      <c r="B561" s="564" t="s">
        <v>479</v>
      </c>
      <c r="C561" s="534"/>
      <c r="D561" s="535"/>
      <c r="E561" s="535"/>
      <c r="F561" s="535"/>
      <c r="G561" s="565" t="s">
        <v>506</v>
      </c>
    </row>
    <row r="562" spans="1:7" ht="12.75" customHeight="1" x14ac:dyDescent="0.2">
      <c r="A562" s="428"/>
      <c r="B562" s="564" t="s">
        <v>480</v>
      </c>
      <c r="C562" s="534"/>
      <c r="D562" s="535"/>
      <c r="E562" s="535"/>
      <c r="F562" s="535"/>
      <c r="G562" s="565" t="s">
        <v>507</v>
      </c>
    </row>
    <row r="563" spans="1:7" ht="12.75" customHeight="1" x14ac:dyDescent="0.2">
      <c r="A563" s="428"/>
      <c r="B563" s="564" t="s">
        <v>548</v>
      </c>
      <c r="C563" s="534"/>
      <c r="D563" s="535"/>
      <c r="E563" s="535"/>
      <c r="F563" s="535"/>
      <c r="G563" s="565">
        <v>3014</v>
      </c>
    </row>
    <row r="564" spans="1:7" ht="12.75" customHeight="1" x14ac:dyDescent="0.2">
      <c r="A564" s="428"/>
      <c r="B564" s="564" t="s">
        <v>481</v>
      </c>
      <c r="C564" s="534"/>
      <c r="D564" s="535"/>
      <c r="E564" s="535"/>
      <c r="F564" s="535"/>
      <c r="G564" s="565" t="s">
        <v>508</v>
      </c>
    </row>
    <row r="565" spans="1:7" ht="12.75" customHeight="1" x14ac:dyDescent="0.2">
      <c r="A565" s="428"/>
      <c r="B565" s="564" t="s">
        <v>482</v>
      </c>
      <c r="C565" s="534"/>
      <c r="D565" s="535"/>
      <c r="E565" s="535"/>
      <c r="F565" s="535"/>
      <c r="G565" s="565" t="s">
        <v>509</v>
      </c>
    </row>
    <row r="566" spans="1:7" ht="12.75" customHeight="1" x14ac:dyDescent="0.2">
      <c r="A566" s="428"/>
      <c r="B566" s="564" t="s">
        <v>557</v>
      </c>
      <c r="C566" s="534"/>
      <c r="D566" s="535"/>
      <c r="E566" s="535"/>
      <c r="F566" s="535"/>
      <c r="G566" s="565">
        <v>3028</v>
      </c>
    </row>
    <row r="567" spans="1:7" ht="12.75" customHeight="1" x14ac:dyDescent="0.2">
      <c r="A567" s="428"/>
      <c r="B567" s="573" t="s">
        <v>50</v>
      </c>
      <c r="C567" s="534"/>
      <c r="D567" s="535">
        <v>530259.4</v>
      </c>
      <c r="E567" s="535"/>
      <c r="F567" s="535"/>
      <c r="G567" s="565"/>
    </row>
    <row r="568" spans="1:7" ht="12.75" customHeight="1" x14ac:dyDescent="0.2">
      <c r="A568" s="428"/>
      <c r="B568" s="564" t="s">
        <v>542</v>
      </c>
      <c r="C568" s="534"/>
      <c r="D568" s="535"/>
      <c r="E568" s="535"/>
      <c r="F568" s="535"/>
      <c r="G568" s="565">
        <v>3031</v>
      </c>
    </row>
    <row r="569" spans="1:7" ht="12.75" customHeight="1" x14ac:dyDescent="0.2">
      <c r="A569" s="428"/>
      <c r="B569" s="564" t="s">
        <v>483</v>
      </c>
      <c r="C569" s="534"/>
      <c r="D569" s="535"/>
      <c r="E569" s="535"/>
      <c r="F569" s="535"/>
      <c r="G569" s="565" t="s">
        <v>510</v>
      </c>
    </row>
    <row r="570" spans="1:7" ht="12.75" customHeight="1" x14ac:dyDescent="0.2">
      <c r="A570" s="428"/>
      <c r="B570" s="564" t="s">
        <v>484</v>
      </c>
      <c r="C570" s="534"/>
      <c r="D570" s="535"/>
      <c r="E570" s="535"/>
      <c r="F570" s="535"/>
      <c r="G570" s="565" t="s">
        <v>511</v>
      </c>
    </row>
    <row r="571" spans="1:7" ht="12.75" customHeight="1" x14ac:dyDescent="0.2">
      <c r="A571" s="428"/>
      <c r="B571" s="564" t="s">
        <v>534</v>
      </c>
      <c r="C571" s="534"/>
      <c r="D571" s="535"/>
      <c r="E571" s="535"/>
      <c r="F571" s="535"/>
      <c r="G571" s="565">
        <v>3034</v>
      </c>
    </row>
    <row r="572" spans="1:7" ht="12.75" customHeight="1" x14ac:dyDescent="0.2">
      <c r="A572" s="428"/>
      <c r="B572" s="564" t="s">
        <v>485</v>
      </c>
      <c r="C572" s="534"/>
      <c r="D572" s="535"/>
      <c r="E572" s="535"/>
      <c r="F572" s="535"/>
      <c r="G572" s="565" t="s">
        <v>512</v>
      </c>
    </row>
    <row r="573" spans="1:7" ht="12.75" customHeight="1" x14ac:dyDescent="0.2">
      <c r="A573" s="428"/>
      <c r="B573" s="564" t="s">
        <v>486</v>
      </c>
      <c r="C573" s="534"/>
      <c r="D573" s="535"/>
      <c r="E573" s="535"/>
      <c r="F573" s="535"/>
      <c r="G573" s="565" t="s">
        <v>513</v>
      </c>
    </row>
    <row r="574" spans="1:7" ht="12.75" customHeight="1" x14ac:dyDescent="0.2">
      <c r="A574" s="428"/>
      <c r="B574" s="564" t="s">
        <v>487</v>
      </c>
      <c r="C574" s="534"/>
      <c r="D574" s="535"/>
      <c r="E574" s="535"/>
      <c r="F574" s="535"/>
      <c r="G574" s="565" t="s">
        <v>514</v>
      </c>
    </row>
    <row r="575" spans="1:7" ht="12.75" customHeight="1" x14ac:dyDescent="0.2">
      <c r="A575" s="428"/>
      <c r="B575" s="564" t="s">
        <v>488</v>
      </c>
      <c r="C575" s="534"/>
      <c r="D575" s="535"/>
      <c r="E575" s="535"/>
      <c r="F575" s="535"/>
      <c r="G575" s="565" t="s">
        <v>515</v>
      </c>
    </row>
    <row r="576" spans="1:7" ht="12.75" customHeight="1" x14ac:dyDescent="0.2">
      <c r="A576" s="428"/>
      <c r="B576" s="564" t="s">
        <v>489</v>
      </c>
      <c r="C576" s="534"/>
      <c r="D576" s="535">
        <v>0</v>
      </c>
      <c r="E576" s="535"/>
      <c r="F576" s="535"/>
      <c r="G576" s="565" t="s">
        <v>516</v>
      </c>
    </row>
    <row r="577" spans="1:7" ht="12.75" customHeight="1" x14ac:dyDescent="0.2">
      <c r="A577" s="428"/>
      <c r="B577" s="564" t="s">
        <v>490</v>
      </c>
      <c r="C577" s="534"/>
      <c r="D577" s="535">
        <v>0</v>
      </c>
      <c r="E577" s="535"/>
      <c r="F577" s="535"/>
      <c r="G577" s="565" t="s">
        <v>517</v>
      </c>
    </row>
    <row r="578" spans="1:7" ht="12.75" customHeight="1" x14ac:dyDescent="0.2">
      <c r="A578" s="428"/>
      <c r="B578" s="564" t="s">
        <v>491</v>
      </c>
      <c r="C578" s="534"/>
      <c r="D578" s="535"/>
      <c r="E578" s="535"/>
      <c r="F578" s="535"/>
      <c r="G578" s="565" t="s">
        <v>518</v>
      </c>
    </row>
    <row r="579" spans="1:7" ht="12.75" customHeight="1" x14ac:dyDescent="0.2">
      <c r="A579" s="428"/>
      <c r="B579" s="564" t="s">
        <v>492</v>
      </c>
      <c r="C579" s="534"/>
      <c r="D579" s="535"/>
      <c r="E579" s="535"/>
      <c r="F579" s="535"/>
      <c r="G579" s="565" t="s">
        <v>519</v>
      </c>
    </row>
    <row r="580" spans="1:7" ht="12.75" customHeight="1" x14ac:dyDescent="0.2">
      <c r="A580" s="428"/>
      <c r="B580" s="564" t="s">
        <v>493</v>
      </c>
      <c r="C580" s="534"/>
      <c r="D580" s="535"/>
      <c r="E580" s="535"/>
      <c r="F580" s="535"/>
      <c r="G580" s="565" t="s">
        <v>520</v>
      </c>
    </row>
    <row r="581" spans="1:7" ht="12.75" customHeight="1" x14ac:dyDescent="0.2">
      <c r="A581" s="428"/>
      <c r="B581" s="564" t="s">
        <v>535</v>
      </c>
      <c r="C581" s="534"/>
      <c r="D581" s="535"/>
      <c r="E581" s="535"/>
      <c r="F581" s="535"/>
      <c r="G581" s="565">
        <v>3048</v>
      </c>
    </row>
    <row r="582" spans="1:7" ht="12.75" customHeight="1" x14ac:dyDescent="0.2">
      <c r="A582" s="428"/>
      <c r="B582" s="564" t="s">
        <v>494</v>
      </c>
      <c r="C582" s="534"/>
      <c r="D582" s="535"/>
      <c r="E582" s="535"/>
      <c r="F582" s="535"/>
      <c r="G582" s="565" t="s">
        <v>521</v>
      </c>
    </row>
    <row r="583" spans="1:7" ht="12.75" customHeight="1" x14ac:dyDescent="0.2">
      <c r="A583" s="428"/>
      <c r="B583" s="564" t="s">
        <v>495</v>
      </c>
      <c r="C583" s="534"/>
      <c r="D583" s="535"/>
      <c r="E583" s="535"/>
      <c r="F583" s="535"/>
      <c r="G583" s="565" t="s">
        <v>522</v>
      </c>
    </row>
    <row r="584" spans="1:7" ht="12.75" customHeight="1" x14ac:dyDescent="0.2">
      <c r="A584" s="428"/>
      <c r="B584" s="564" t="s">
        <v>554</v>
      </c>
      <c r="C584" s="534"/>
      <c r="D584" s="535"/>
      <c r="E584" s="535"/>
      <c r="F584" s="535"/>
      <c r="G584" s="565">
        <v>3052</v>
      </c>
    </row>
    <row r="585" spans="1:7" ht="12.75" customHeight="1" x14ac:dyDescent="0.2">
      <c r="A585" s="428"/>
      <c r="B585" s="564" t="s">
        <v>496</v>
      </c>
      <c r="C585" s="534"/>
      <c r="D585" s="535"/>
      <c r="E585" s="535"/>
      <c r="F585" s="535"/>
      <c r="G585" s="565" t="s">
        <v>523</v>
      </c>
    </row>
    <row r="586" spans="1:7" ht="12.75" customHeight="1" x14ac:dyDescent="0.2">
      <c r="A586" s="428"/>
      <c r="B586" s="564" t="s">
        <v>539</v>
      </c>
      <c r="C586" s="534"/>
      <c r="D586" s="535"/>
      <c r="E586" s="535"/>
      <c r="F586" s="535"/>
      <c r="G586" s="565">
        <v>3056</v>
      </c>
    </row>
    <row r="587" spans="1:7" ht="12.75" customHeight="1" x14ac:dyDescent="0.2">
      <c r="A587" s="428"/>
      <c r="B587" s="564" t="s">
        <v>497</v>
      </c>
      <c r="C587" s="534"/>
      <c r="D587" s="535"/>
      <c r="E587" s="535"/>
      <c r="F587" s="535"/>
      <c r="G587" s="565" t="s">
        <v>524</v>
      </c>
    </row>
    <row r="588" spans="1:7" ht="12.75" customHeight="1" x14ac:dyDescent="0.2">
      <c r="A588" s="428"/>
      <c r="B588" s="564" t="s">
        <v>498</v>
      </c>
      <c r="C588" s="534"/>
      <c r="D588" s="535"/>
      <c r="E588" s="535"/>
      <c r="F588" s="535"/>
      <c r="G588" s="565" t="s">
        <v>525</v>
      </c>
    </row>
    <row r="589" spans="1:7" ht="12.75" customHeight="1" x14ac:dyDescent="0.2">
      <c r="A589" s="428"/>
      <c r="B589" s="564" t="s">
        <v>499</v>
      </c>
      <c r="C589" s="534"/>
      <c r="D589" s="535"/>
      <c r="E589" s="535"/>
      <c r="F589" s="535"/>
      <c r="G589" s="565" t="s">
        <v>526</v>
      </c>
    </row>
    <row r="590" spans="1:7" ht="12.75" customHeight="1" x14ac:dyDescent="0.2">
      <c r="A590" s="428"/>
      <c r="B590" s="564" t="s">
        <v>536</v>
      </c>
      <c r="C590" s="534"/>
      <c r="D590" s="535">
        <v>0</v>
      </c>
      <c r="E590" s="535"/>
      <c r="F590" s="535"/>
      <c r="G590" s="565">
        <v>3061</v>
      </c>
    </row>
    <row r="591" spans="1:7" ht="12.75" customHeight="1" x14ac:dyDescent="0.2">
      <c r="A591" s="428"/>
      <c r="B591" s="564" t="s">
        <v>500</v>
      </c>
      <c r="C591" s="534"/>
      <c r="D591" s="535">
        <v>0</v>
      </c>
      <c r="E591" s="535"/>
      <c r="F591" s="535"/>
      <c r="G591" s="565" t="s">
        <v>527</v>
      </c>
    </row>
    <row r="592" spans="1:7" ht="12.75" customHeight="1" x14ac:dyDescent="0.2">
      <c r="A592" s="428"/>
      <c r="B592" s="564" t="s">
        <v>501</v>
      </c>
      <c r="C592" s="534"/>
      <c r="D592" s="535"/>
      <c r="E592" s="535"/>
      <c r="F592" s="535"/>
      <c r="G592" s="565" t="s">
        <v>528</v>
      </c>
    </row>
    <row r="593" spans="1:8" ht="12.75" customHeight="1" x14ac:dyDescent="0.2">
      <c r="A593" s="428"/>
      <c r="B593" s="564" t="s">
        <v>502</v>
      </c>
      <c r="C593" s="534"/>
      <c r="D593" s="535"/>
      <c r="E593" s="535"/>
      <c r="F593" s="535"/>
      <c r="G593" s="565" t="s">
        <v>529</v>
      </c>
      <c r="H593" s="537"/>
    </row>
    <row r="594" spans="1:8" ht="12.75" customHeight="1" x14ac:dyDescent="0.2">
      <c r="A594" s="428"/>
      <c r="B594" s="564" t="s">
        <v>503</v>
      </c>
      <c r="C594" s="534"/>
      <c r="D594" s="535"/>
      <c r="E594" s="535"/>
      <c r="F594" s="535"/>
      <c r="G594" s="565" t="s">
        <v>530</v>
      </c>
    </row>
    <row r="595" spans="1:8" ht="12.75" customHeight="1" x14ac:dyDescent="0.2">
      <c r="A595" s="428"/>
      <c r="B595" s="564" t="s">
        <v>504</v>
      </c>
      <c r="C595" s="534"/>
      <c r="D595" s="535"/>
      <c r="E595" s="535"/>
      <c r="F595" s="535"/>
      <c r="G595" s="565" t="s">
        <v>531</v>
      </c>
      <c r="H595" s="537"/>
    </row>
    <row r="596" spans="1:8" ht="12.75" customHeight="1" x14ac:dyDescent="0.2">
      <c r="A596" s="428"/>
      <c r="B596" s="567" t="s">
        <v>252</v>
      </c>
      <c r="C596" s="538"/>
      <c r="D596" s="535">
        <v>152568.04999999999</v>
      </c>
      <c r="E596" s="566">
        <f>SUM(D596)</f>
        <v>152568.04999999999</v>
      </c>
      <c r="F596" s="535"/>
      <c r="G596" s="565">
        <v>3001</v>
      </c>
      <c r="H596" s="537"/>
    </row>
    <row r="597" spans="1:8" ht="12.75" customHeight="1" x14ac:dyDescent="0.2">
      <c r="A597" s="428"/>
      <c r="B597" s="568" t="s">
        <v>377</v>
      </c>
      <c r="C597" s="539"/>
      <c r="D597" s="535"/>
      <c r="E597" s="566">
        <f>SUM(D598:D603)</f>
        <v>1003191.0299999999</v>
      </c>
      <c r="F597" s="535"/>
      <c r="H597" s="537"/>
    </row>
    <row r="598" spans="1:8" ht="12.75" customHeight="1" x14ac:dyDescent="0.2">
      <c r="A598" s="428"/>
      <c r="B598" s="536"/>
      <c r="C598" s="538" t="s">
        <v>253</v>
      </c>
      <c r="D598" s="535">
        <v>51060.21</v>
      </c>
      <c r="E598" s="535"/>
      <c r="F598" s="535"/>
      <c r="H598" s="537"/>
    </row>
    <row r="599" spans="1:8" ht="12.75" customHeight="1" x14ac:dyDescent="0.2">
      <c r="A599" s="428"/>
      <c r="B599" s="536"/>
      <c r="C599" s="538" t="s">
        <v>254</v>
      </c>
      <c r="D599" s="535">
        <v>0</v>
      </c>
      <c r="E599" s="535"/>
      <c r="F599" s="535"/>
    </row>
    <row r="600" spans="1:8" ht="12.75" customHeight="1" x14ac:dyDescent="0.2">
      <c r="A600" s="428"/>
      <c r="B600" s="536"/>
      <c r="C600" s="538" t="s">
        <v>255</v>
      </c>
      <c r="D600" s="535">
        <v>872753.19</v>
      </c>
      <c r="E600" s="535"/>
      <c r="F600" s="535"/>
    </row>
    <row r="601" spans="1:8" ht="12.75" customHeight="1" x14ac:dyDescent="0.2">
      <c r="A601" s="428"/>
      <c r="B601" s="536"/>
      <c r="C601" s="538" t="s">
        <v>256</v>
      </c>
      <c r="D601" s="535">
        <v>1200.93</v>
      </c>
      <c r="E601" s="535"/>
      <c r="F601" s="535"/>
    </row>
    <row r="602" spans="1:8" ht="12.75" customHeight="1" x14ac:dyDescent="0.2">
      <c r="A602" s="550"/>
      <c r="B602" s="536"/>
      <c r="C602" s="539" t="s">
        <v>257</v>
      </c>
      <c r="D602" s="535">
        <v>34405.589999999997</v>
      </c>
      <c r="E602" s="535"/>
      <c r="F602" s="535"/>
    </row>
    <row r="603" spans="1:8" ht="12.75" customHeight="1" x14ac:dyDescent="0.2">
      <c r="A603" s="428"/>
      <c r="B603" s="536"/>
      <c r="C603" s="539" t="s">
        <v>115</v>
      </c>
      <c r="D603" s="535">
        <v>43771.11</v>
      </c>
      <c r="E603" s="535"/>
      <c r="F603" s="535"/>
      <c r="G603" s="525">
        <v>4005</v>
      </c>
    </row>
    <row r="604" spans="1:8" ht="12.75" customHeight="1" x14ac:dyDescent="0.2">
      <c r="A604" s="428"/>
      <c r="B604" s="568" t="s">
        <v>702</v>
      </c>
      <c r="C604" s="539"/>
      <c r="D604" s="535">
        <v>-13272.01</v>
      </c>
      <c r="E604" s="566">
        <f>D604</f>
        <v>-13272.01</v>
      </c>
      <c r="F604" s="535"/>
    </row>
    <row r="605" spans="1:8" ht="12.75" customHeight="1" x14ac:dyDescent="0.2">
      <c r="A605" s="428"/>
      <c r="B605" s="570" t="s">
        <v>259</v>
      </c>
      <c r="D605" s="535">
        <v>0</v>
      </c>
      <c r="E605" s="569">
        <f>D605</f>
        <v>0</v>
      </c>
      <c r="F605" s="535"/>
      <c r="G605" s="525">
        <v>5002</v>
      </c>
      <c r="H605" s="537"/>
    </row>
    <row r="606" spans="1:8" ht="12.75" customHeight="1" thickBot="1" x14ac:dyDescent="0.25">
      <c r="A606" s="544"/>
      <c r="B606" s="545"/>
      <c r="C606" s="546"/>
      <c r="D606" s="551"/>
      <c r="E606" s="548"/>
      <c r="F606" s="736">
        <f>SUM(E557:E606)</f>
        <v>1776749.47</v>
      </c>
      <c r="H606" s="549">
        <f>'Sched-B1'!B15+'Sched-B2'!E207+'Sched-D1'!F606-9585849.42-530259.4+80358.99</f>
        <v>1.3096723705530167E-10</v>
      </c>
    </row>
    <row r="607" spans="1:8" ht="12.75" customHeight="1" x14ac:dyDescent="0.2">
      <c r="A607" s="530" t="s">
        <v>553</v>
      </c>
      <c r="B607" s="685" t="s">
        <v>703</v>
      </c>
      <c r="C607" s="531"/>
      <c r="D607" s="532"/>
      <c r="E607" s="533">
        <v>94.33</v>
      </c>
      <c r="F607" s="533"/>
      <c r="G607" s="525">
        <v>2000</v>
      </c>
    </row>
    <row r="608" spans="1:8" ht="12.75" customHeight="1" x14ac:dyDescent="0.2">
      <c r="A608" s="428"/>
      <c r="B608" s="562" t="s">
        <v>477</v>
      </c>
      <c r="C608" s="534"/>
      <c r="D608" s="535">
        <v>151702.10999999999</v>
      </c>
      <c r="E608" s="566">
        <f>SUM(D608:D649)</f>
        <v>455927.82</v>
      </c>
      <c r="F608" s="535"/>
    </row>
    <row r="609" spans="1:7" ht="12.75" customHeight="1" x14ac:dyDescent="0.2">
      <c r="A609" s="428"/>
      <c r="B609" s="564" t="s">
        <v>478</v>
      </c>
      <c r="C609" s="534"/>
      <c r="D609" s="535"/>
      <c r="E609" s="535"/>
      <c r="F609" s="535"/>
      <c r="G609" s="565" t="s">
        <v>505</v>
      </c>
    </row>
    <row r="610" spans="1:7" ht="12.75" customHeight="1" x14ac:dyDescent="0.2">
      <c r="A610" s="428"/>
      <c r="B610" s="564" t="s">
        <v>479</v>
      </c>
      <c r="C610" s="534"/>
      <c r="D610" s="535"/>
      <c r="E610" s="535"/>
      <c r="F610" s="535"/>
      <c r="G610" s="565" t="s">
        <v>506</v>
      </c>
    </row>
    <row r="611" spans="1:7" ht="12.75" customHeight="1" x14ac:dyDescent="0.2">
      <c r="A611" s="428"/>
      <c r="B611" s="564" t="s">
        <v>537</v>
      </c>
      <c r="C611" s="534"/>
      <c r="D611" s="535"/>
      <c r="E611" s="535"/>
      <c r="F611" s="535"/>
      <c r="G611" s="565">
        <v>3003</v>
      </c>
    </row>
    <row r="612" spans="1:7" ht="12.75" customHeight="1" x14ac:dyDescent="0.2">
      <c r="A612" s="428"/>
      <c r="B612" s="564" t="s">
        <v>480</v>
      </c>
      <c r="C612" s="534"/>
      <c r="D612" s="535"/>
      <c r="E612" s="535"/>
      <c r="F612" s="535"/>
      <c r="G612" s="565" t="s">
        <v>507</v>
      </c>
    </row>
    <row r="613" spans="1:7" ht="12.75" customHeight="1" x14ac:dyDescent="0.2">
      <c r="A613" s="428"/>
      <c r="B613" s="564" t="s">
        <v>548</v>
      </c>
      <c r="C613" s="534"/>
      <c r="D613" s="535"/>
      <c r="E613" s="535"/>
      <c r="F613" s="535"/>
      <c r="G613" s="565">
        <v>3014</v>
      </c>
    </row>
    <row r="614" spans="1:7" ht="12.75" customHeight="1" x14ac:dyDescent="0.2">
      <c r="A614" s="428"/>
      <c r="B614" s="564" t="s">
        <v>481</v>
      </c>
      <c r="C614" s="534"/>
      <c r="D614" s="535"/>
      <c r="E614" s="535"/>
      <c r="F614" s="535"/>
      <c r="G614" s="565" t="s">
        <v>508</v>
      </c>
    </row>
    <row r="615" spans="1:7" ht="12.75" customHeight="1" x14ac:dyDescent="0.2">
      <c r="A615" s="428"/>
      <c r="B615" s="564" t="s">
        <v>482</v>
      </c>
      <c r="C615" s="534"/>
      <c r="D615" s="535"/>
      <c r="E615" s="535"/>
      <c r="F615" s="535"/>
      <c r="G615" s="565" t="s">
        <v>509</v>
      </c>
    </row>
    <row r="616" spans="1:7" ht="12.75" customHeight="1" x14ac:dyDescent="0.2">
      <c r="A616" s="428"/>
      <c r="B616" s="573" t="s">
        <v>50</v>
      </c>
      <c r="C616" s="534"/>
      <c r="D616" s="535">
        <v>304225.71000000002</v>
      </c>
      <c r="E616" s="535"/>
      <c r="F616" s="535"/>
      <c r="G616" s="565"/>
    </row>
    <row r="617" spans="1:7" ht="12.75" customHeight="1" x14ac:dyDescent="0.2">
      <c r="A617" s="428"/>
      <c r="B617" s="564" t="s">
        <v>552</v>
      </c>
      <c r="C617" s="534"/>
      <c r="D617" s="535"/>
      <c r="E617" s="535"/>
      <c r="F617" s="535"/>
      <c r="G617" s="565">
        <v>3027</v>
      </c>
    </row>
    <row r="618" spans="1:7" ht="12.75" customHeight="1" x14ac:dyDescent="0.2">
      <c r="A618" s="428"/>
      <c r="B618" s="564" t="s">
        <v>542</v>
      </c>
      <c r="C618" s="534"/>
      <c r="D618" s="535"/>
      <c r="E618" s="535"/>
      <c r="F618" s="535"/>
      <c r="G618" s="565">
        <v>3029</v>
      </c>
    </row>
    <row r="619" spans="1:7" ht="12.75" customHeight="1" x14ac:dyDescent="0.2">
      <c r="A619" s="428"/>
      <c r="B619" s="564" t="s">
        <v>483</v>
      </c>
      <c r="C619" s="534"/>
      <c r="D619" s="535"/>
      <c r="E619" s="535"/>
      <c r="F619" s="535"/>
      <c r="G619" s="565" t="s">
        <v>510</v>
      </c>
    </row>
    <row r="620" spans="1:7" ht="12.75" customHeight="1" x14ac:dyDescent="0.2">
      <c r="A620" s="428"/>
      <c r="B620" s="564" t="s">
        <v>484</v>
      </c>
      <c r="C620" s="534"/>
      <c r="D620" s="535"/>
      <c r="E620" s="535"/>
      <c r="F620" s="535"/>
      <c r="G620" s="565" t="s">
        <v>511</v>
      </c>
    </row>
    <row r="621" spans="1:7" ht="12.75" customHeight="1" x14ac:dyDescent="0.2">
      <c r="A621" s="428"/>
      <c r="B621" s="564" t="s">
        <v>534</v>
      </c>
      <c r="C621" s="534"/>
      <c r="D621" s="535"/>
      <c r="E621" s="535"/>
      <c r="F621" s="535"/>
      <c r="G621" s="565">
        <v>3034</v>
      </c>
    </row>
    <row r="622" spans="1:7" ht="12.75" customHeight="1" x14ac:dyDescent="0.2">
      <c r="A622" s="428"/>
      <c r="B622" s="564" t="s">
        <v>485</v>
      </c>
      <c r="C622" s="534"/>
      <c r="D622" s="535"/>
      <c r="E622" s="535"/>
      <c r="F622" s="535"/>
      <c r="G622" s="565" t="s">
        <v>512</v>
      </c>
    </row>
    <row r="623" spans="1:7" ht="12.75" customHeight="1" x14ac:dyDescent="0.2">
      <c r="A623" s="428"/>
      <c r="B623" s="564" t="s">
        <v>486</v>
      </c>
      <c r="C623" s="534"/>
      <c r="D623" s="535"/>
      <c r="E623" s="535"/>
      <c r="F623" s="535"/>
      <c r="G623" s="565" t="s">
        <v>513</v>
      </c>
    </row>
    <row r="624" spans="1:7" ht="12.75" customHeight="1" x14ac:dyDescent="0.2">
      <c r="A624" s="428"/>
      <c r="B624" s="564" t="s">
        <v>487</v>
      </c>
      <c r="C624" s="534"/>
      <c r="D624" s="535"/>
      <c r="E624" s="535"/>
      <c r="F624" s="535"/>
      <c r="G624" s="565" t="s">
        <v>514</v>
      </c>
    </row>
    <row r="625" spans="1:7" ht="12.75" customHeight="1" x14ac:dyDescent="0.2">
      <c r="A625" s="428"/>
      <c r="B625" s="564" t="s">
        <v>488</v>
      </c>
      <c r="C625" s="534"/>
      <c r="D625" s="535"/>
      <c r="E625" s="535"/>
      <c r="F625" s="535"/>
      <c r="G625" s="565" t="s">
        <v>515</v>
      </c>
    </row>
    <row r="626" spans="1:7" ht="12.75" customHeight="1" x14ac:dyDescent="0.2">
      <c r="A626" s="428"/>
      <c r="B626" s="564" t="s">
        <v>489</v>
      </c>
      <c r="C626" s="534"/>
      <c r="D626" s="535"/>
      <c r="E626" s="535"/>
      <c r="F626" s="535"/>
      <c r="G626" s="565" t="s">
        <v>516</v>
      </c>
    </row>
    <row r="627" spans="1:7" ht="12.75" customHeight="1" x14ac:dyDescent="0.2">
      <c r="A627" s="428"/>
      <c r="B627" s="564" t="s">
        <v>490</v>
      </c>
      <c r="C627" s="534"/>
      <c r="D627" s="535"/>
      <c r="E627" s="535"/>
      <c r="F627" s="535"/>
      <c r="G627" s="565" t="s">
        <v>517</v>
      </c>
    </row>
    <row r="628" spans="1:7" ht="12.75" customHeight="1" x14ac:dyDescent="0.2">
      <c r="A628" s="428"/>
      <c r="B628" s="564" t="s">
        <v>544</v>
      </c>
      <c r="C628" s="534"/>
      <c r="D628" s="535"/>
      <c r="E628" s="535"/>
      <c r="F628" s="535"/>
      <c r="G628" s="565">
        <v>3042</v>
      </c>
    </row>
    <row r="629" spans="1:7" ht="12.75" customHeight="1" x14ac:dyDescent="0.2">
      <c r="A629" s="428"/>
      <c r="B629" s="564" t="s">
        <v>491</v>
      </c>
      <c r="C629" s="534"/>
      <c r="D629" s="535"/>
      <c r="E629" s="535"/>
      <c r="F629" s="535"/>
      <c r="G629" s="565" t="s">
        <v>518</v>
      </c>
    </row>
    <row r="630" spans="1:7" ht="12.75" customHeight="1" x14ac:dyDescent="0.2">
      <c r="A630" s="428"/>
      <c r="B630" s="564" t="s">
        <v>492</v>
      </c>
      <c r="C630" s="534"/>
      <c r="D630" s="535"/>
      <c r="E630" s="535"/>
      <c r="F630" s="535"/>
      <c r="G630" s="565" t="s">
        <v>519</v>
      </c>
    </row>
    <row r="631" spans="1:7" ht="12.75" customHeight="1" x14ac:dyDescent="0.2">
      <c r="A631" s="428"/>
      <c r="B631" s="564" t="s">
        <v>493</v>
      </c>
      <c r="C631" s="534"/>
      <c r="D631" s="535"/>
      <c r="E631" s="535"/>
      <c r="F631" s="535"/>
      <c r="G631" s="565" t="s">
        <v>520</v>
      </c>
    </row>
    <row r="632" spans="1:7" ht="12.75" customHeight="1" x14ac:dyDescent="0.2">
      <c r="A632" s="428"/>
      <c r="B632" s="564" t="s">
        <v>535</v>
      </c>
      <c r="C632" s="534"/>
      <c r="D632" s="535"/>
      <c r="E632" s="535"/>
      <c r="F632" s="535"/>
      <c r="G632" s="565">
        <v>3048</v>
      </c>
    </row>
    <row r="633" spans="1:7" ht="12.75" customHeight="1" x14ac:dyDescent="0.2">
      <c r="A633" s="428"/>
      <c r="B633" s="564" t="s">
        <v>494</v>
      </c>
      <c r="C633" s="534"/>
      <c r="D633" s="535"/>
      <c r="E633" s="535"/>
      <c r="F633" s="535"/>
      <c r="G633" s="565" t="s">
        <v>521</v>
      </c>
    </row>
    <row r="634" spans="1:7" ht="12.75" customHeight="1" x14ac:dyDescent="0.2">
      <c r="A634" s="428"/>
      <c r="B634" s="564" t="s">
        <v>495</v>
      </c>
      <c r="C634" s="534"/>
      <c r="D634" s="535"/>
      <c r="E634" s="535"/>
      <c r="F634" s="535"/>
      <c r="G634" s="565" t="s">
        <v>522</v>
      </c>
    </row>
    <row r="635" spans="1:7" ht="12.75" customHeight="1" x14ac:dyDescent="0.2">
      <c r="A635" s="428"/>
      <c r="B635" s="564" t="s">
        <v>538</v>
      </c>
      <c r="C635" s="534"/>
      <c r="D635" s="535"/>
      <c r="E635" s="535"/>
      <c r="F635" s="535"/>
      <c r="G635" s="565">
        <v>3051</v>
      </c>
    </row>
    <row r="636" spans="1:7" ht="12.75" customHeight="1" x14ac:dyDescent="0.2">
      <c r="A636" s="428"/>
      <c r="B636" s="564" t="s">
        <v>496</v>
      </c>
      <c r="C636" s="534"/>
      <c r="D636" s="535"/>
      <c r="E636" s="535"/>
      <c r="F636" s="535"/>
      <c r="G636" s="565" t="s">
        <v>523</v>
      </c>
    </row>
    <row r="637" spans="1:7" ht="12.75" customHeight="1" x14ac:dyDescent="0.2">
      <c r="A637" s="428"/>
      <c r="B637" s="564" t="s">
        <v>539</v>
      </c>
      <c r="C637" s="534"/>
      <c r="D637" s="535">
        <v>0</v>
      </c>
      <c r="E637" s="535"/>
      <c r="F637" s="535"/>
      <c r="G637" s="565">
        <v>3056</v>
      </c>
    </row>
    <row r="638" spans="1:7" ht="12.75" customHeight="1" x14ac:dyDescent="0.2">
      <c r="A638" s="428"/>
      <c r="B638" s="564" t="s">
        <v>497</v>
      </c>
      <c r="C638" s="534"/>
      <c r="D638" s="535">
        <v>0</v>
      </c>
      <c r="E638" s="535"/>
      <c r="F638" s="535"/>
      <c r="G638" s="565">
        <v>3057</v>
      </c>
    </row>
    <row r="639" spans="1:7" ht="12.75" customHeight="1" x14ac:dyDescent="0.2">
      <c r="A639" s="428"/>
      <c r="B639" s="564" t="s">
        <v>498</v>
      </c>
      <c r="C639" s="534"/>
      <c r="D639" s="535">
        <v>0</v>
      </c>
      <c r="E639" s="535"/>
      <c r="F639" s="535"/>
      <c r="G639" s="565" t="s">
        <v>525</v>
      </c>
    </row>
    <row r="640" spans="1:7" ht="12.75" customHeight="1" x14ac:dyDescent="0.2">
      <c r="A640" s="428"/>
      <c r="B640" s="564" t="s">
        <v>499</v>
      </c>
      <c r="C640" s="534"/>
      <c r="D640" s="535">
        <v>0</v>
      </c>
      <c r="E640" s="535"/>
      <c r="F640" s="535"/>
      <c r="G640" s="565" t="s">
        <v>526</v>
      </c>
    </row>
    <row r="641" spans="1:8" ht="12.75" customHeight="1" x14ac:dyDescent="0.2">
      <c r="A641" s="428"/>
      <c r="B641" s="564" t="s">
        <v>536</v>
      </c>
      <c r="C641" s="534"/>
      <c r="D641" s="535"/>
      <c r="E641" s="535"/>
      <c r="F641" s="535"/>
      <c r="G641" s="565">
        <v>3061</v>
      </c>
    </row>
    <row r="642" spans="1:8" ht="12.75" customHeight="1" x14ac:dyDescent="0.2">
      <c r="A642" s="428"/>
      <c r="B642" s="564" t="s">
        <v>545</v>
      </c>
      <c r="C642" s="534"/>
      <c r="D642" s="535"/>
      <c r="E642" s="535"/>
      <c r="F642" s="535"/>
      <c r="G642" s="565">
        <v>3063</v>
      </c>
    </row>
    <row r="643" spans="1:8" ht="12.75" customHeight="1" x14ac:dyDescent="0.2">
      <c r="A643" s="428"/>
      <c r="B643" s="564" t="s">
        <v>500</v>
      </c>
      <c r="C643" s="534"/>
      <c r="D643" s="535"/>
      <c r="E643" s="535"/>
      <c r="F643" s="535"/>
      <c r="G643" s="565" t="s">
        <v>527</v>
      </c>
    </row>
    <row r="644" spans="1:8" ht="12.75" customHeight="1" x14ac:dyDescent="0.2">
      <c r="A644" s="428"/>
      <c r="B644" s="564" t="s">
        <v>549</v>
      </c>
      <c r="C644" s="534"/>
      <c r="D644" s="535"/>
      <c r="E644" s="535"/>
      <c r="F644" s="535"/>
      <c r="G644" s="565">
        <v>3065</v>
      </c>
    </row>
    <row r="645" spans="1:8" ht="12.75" customHeight="1" x14ac:dyDescent="0.2">
      <c r="A645" s="428"/>
      <c r="B645" s="564" t="s">
        <v>501</v>
      </c>
      <c r="C645" s="534"/>
      <c r="D645" s="535"/>
      <c r="E645" s="535"/>
      <c r="F645" s="535"/>
      <c r="G645" s="565">
        <v>3066</v>
      </c>
    </row>
    <row r="646" spans="1:8" ht="12.75" customHeight="1" x14ac:dyDescent="0.2">
      <c r="A646" s="428"/>
      <c r="B646" s="564" t="s">
        <v>502</v>
      </c>
      <c r="C646" s="534"/>
      <c r="D646" s="535"/>
      <c r="E646" s="535"/>
      <c r="F646" s="535"/>
      <c r="G646" s="565" t="s">
        <v>529</v>
      </c>
      <c r="H646" s="537"/>
    </row>
    <row r="647" spans="1:8" ht="12.75" customHeight="1" x14ac:dyDescent="0.2">
      <c r="A647" s="428"/>
      <c r="B647" s="564" t="s">
        <v>503</v>
      </c>
      <c r="C647" s="534"/>
      <c r="D647" s="535"/>
      <c r="E647" s="535"/>
      <c r="F647" s="535"/>
      <c r="G647" s="565">
        <v>3068</v>
      </c>
      <c r="H647" s="537"/>
    </row>
    <row r="648" spans="1:8" ht="12.75" customHeight="1" x14ac:dyDescent="0.2">
      <c r="A648" s="428"/>
      <c r="B648" s="564" t="s">
        <v>504</v>
      </c>
      <c r="C648" s="534"/>
      <c r="D648" s="535"/>
      <c r="E648" s="535"/>
      <c r="F648" s="535"/>
      <c r="G648" s="565">
        <v>3069</v>
      </c>
      <c r="H648" s="537"/>
    </row>
    <row r="649" spans="1:8" ht="12.75" customHeight="1" x14ac:dyDescent="0.2">
      <c r="A649" s="428"/>
      <c r="B649" s="564" t="s">
        <v>540</v>
      </c>
      <c r="C649" s="534"/>
      <c r="D649" s="535"/>
      <c r="E649" s="535"/>
      <c r="F649" s="535"/>
      <c r="G649" s="565">
        <v>3073</v>
      </c>
    </row>
    <row r="650" spans="1:8" ht="12.75" customHeight="1" x14ac:dyDescent="0.2">
      <c r="A650" s="428"/>
      <c r="B650" s="567" t="s">
        <v>252</v>
      </c>
      <c r="D650" s="535">
        <v>139158.39999999999</v>
      </c>
      <c r="E650" s="566">
        <f>SUM(D650)</f>
        <v>139158.39999999999</v>
      </c>
      <c r="F650" s="535"/>
      <c r="G650" s="525">
        <v>3001</v>
      </c>
      <c r="H650" s="537"/>
    </row>
    <row r="651" spans="1:8" ht="12.75" customHeight="1" x14ac:dyDescent="0.2">
      <c r="A651" s="428"/>
      <c r="B651" s="568" t="s">
        <v>377</v>
      </c>
      <c r="C651" s="539"/>
      <c r="D651" s="535"/>
      <c r="E651" s="566">
        <f>SUM(D652:D657)</f>
        <v>650314.49</v>
      </c>
      <c r="F651" s="535"/>
    </row>
    <row r="652" spans="1:8" ht="12.75" customHeight="1" x14ac:dyDescent="0.2">
      <c r="A652" s="428"/>
      <c r="B652" s="536"/>
      <c r="C652" s="538" t="s">
        <v>253</v>
      </c>
      <c r="D652" s="535">
        <v>9145.66</v>
      </c>
      <c r="E652" s="535"/>
      <c r="F652" s="535"/>
      <c r="G652" s="525">
        <v>4000</v>
      </c>
    </row>
    <row r="653" spans="1:8" ht="12.75" customHeight="1" x14ac:dyDescent="0.2">
      <c r="A653" s="428"/>
      <c r="B653" s="536"/>
      <c r="C653" s="538" t="s">
        <v>254</v>
      </c>
      <c r="D653" s="535">
        <v>147561.74</v>
      </c>
      <c r="E653" s="535"/>
      <c r="F653" s="535"/>
      <c r="G653" s="525">
        <v>4001</v>
      </c>
    </row>
    <row r="654" spans="1:8" ht="12.75" customHeight="1" x14ac:dyDescent="0.2">
      <c r="A654" s="428"/>
      <c r="B654" s="536"/>
      <c r="C654" s="538" t="s">
        <v>255</v>
      </c>
      <c r="D654" s="535">
        <v>251680.21</v>
      </c>
      <c r="E654" s="535"/>
      <c r="F654" s="535"/>
    </row>
    <row r="655" spans="1:8" ht="12.75" customHeight="1" x14ac:dyDescent="0.2">
      <c r="A655" s="428"/>
      <c r="B655" s="536"/>
      <c r="C655" s="538" t="s">
        <v>256</v>
      </c>
      <c r="D655" s="535">
        <v>93706.22</v>
      </c>
      <c r="E655" s="535"/>
      <c r="F655" s="535"/>
    </row>
    <row r="656" spans="1:8" ht="12.75" customHeight="1" x14ac:dyDescent="0.2">
      <c r="A656" s="428"/>
      <c r="B656" s="536"/>
      <c r="C656" s="539" t="s">
        <v>257</v>
      </c>
      <c r="D656" s="535">
        <v>5958.45</v>
      </c>
      <c r="E656" s="535"/>
      <c r="F656" s="535"/>
    </row>
    <row r="657" spans="1:8" ht="12.75" customHeight="1" x14ac:dyDescent="0.2">
      <c r="A657" s="428"/>
      <c r="B657" s="536"/>
      <c r="C657" s="539" t="s">
        <v>115</v>
      </c>
      <c r="D657" s="535">
        <v>142262.21</v>
      </c>
      <c r="E657" s="535"/>
      <c r="F657" s="535"/>
    </row>
    <row r="658" spans="1:8" ht="12.75" customHeight="1" x14ac:dyDescent="0.2">
      <c r="A658" s="540"/>
      <c r="B658" s="568" t="s">
        <v>702</v>
      </c>
      <c r="C658" s="539"/>
      <c r="D658" s="535">
        <v>-2525.9699999999998</v>
      </c>
      <c r="E658" s="566">
        <f>D658</f>
        <v>-2525.9699999999998</v>
      </c>
      <c r="F658" s="543"/>
    </row>
    <row r="659" spans="1:8" ht="12.75" customHeight="1" x14ac:dyDescent="0.2">
      <c r="A659" s="540"/>
      <c r="B659" s="570" t="s">
        <v>259</v>
      </c>
      <c r="D659" s="535">
        <v>0</v>
      </c>
      <c r="E659" s="569">
        <f>D659</f>
        <v>0</v>
      </c>
      <c r="F659" s="543"/>
      <c r="G659" s="525">
        <v>5000</v>
      </c>
    </row>
    <row r="660" spans="1:8" ht="12.75" customHeight="1" thickBot="1" x14ac:dyDescent="0.25">
      <c r="A660" s="544"/>
      <c r="B660" s="545"/>
      <c r="C660" s="546"/>
      <c r="D660" s="547"/>
      <c r="E660" s="548"/>
      <c r="F660" s="736">
        <f>SUM(E607:E659)</f>
        <v>1242969.07</v>
      </c>
      <c r="H660" s="549">
        <f>'Sched-B1'!B16+'Sched-B2'!E224+'Sched-D1'!F660-4309780.7-304225.71</f>
        <v>0</v>
      </c>
    </row>
    <row r="661" spans="1:8" s="510" customFormat="1" ht="18.75" customHeight="1" thickBot="1" x14ac:dyDescent="0.25">
      <c r="A661" s="687"/>
      <c r="B661" s="688" t="s">
        <v>6</v>
      </c>
      <c r="C661" s="689"/>
      <c r="D661" s="690"/>
      <c r="E661" s="691"/>
      <c r="F661" s="692">
        <f>SUM(F3:F660)</f>
        <v>39406041.079999998</v>
      </c>
      <c r="H661" s="693"/>
    </row>
    <row r="662" spans="1:8" ht="12.75" customHeight="1" thickTop="1" x14ac:dyDescent="0.2">
      <c r="C662" s="559"/>
    </row>
    <row r="663" spans="1:8" ht="12.75" customHeight="1" x14ac:dyDescent="0.2">
      <c r="A663" s="106" t="s">
        <v>816</v>
      </c>
      <c r="C663" s="559"/>
    </row>
    <row r="664" spans="1:8" x14ac:dyDescent="0.2">
      <c r="C664" s="559"/>
    </row>
    <row r="665" spans="1:8" x14ac:dyDescent="0.2">
      <c r="A665" s="561"/>
      <c r="C665" s="559"/>
      <c r="F665" s="560">
        <f>F661+'Sched-B1'!E17</f>
        <v>198431463.07000005</v>
      </c>
    </row>
    <row r="666" spans="1:8" x14ac:dyDescent="0.2">
      <c r="C666" s="559"/>
    </row>
    <row r="667" spans="1:8" x14ac:dyDescent="0.2">
      <c r="F667" s="738">
        <f>D10+D53+D98+D147+D200+D252+D308+D355+D408+D458+D512+D567+D616</f>
        <v>10810288.890000001</v>
      </c>
      <c r="G667" s="525" t="s">
        <v>559</v>
      </c>
    </row>
    <row r="668" spans="1:8" ht="13.5" thickBot="1" x14ac:dyDescent="0.25">
      <c r="F668" s="804">
        <f>+D559+D504+D299+D300+D47</f>
        <v>-376410.34</v>
      </c>
      <c r="G668" s="525" t="s">
        <v>814</v>
      </c>
    </row>
    <row r="669" spans="1:8" ht="13.5" thickTop="1" x14ac:dyDescent="0.2">
      <c r="F669" s="823">
        <f>F665-F667-F668</f>
        <v>187997584.52000007</v>
      </c>
      <c r="G669" s="525" t="s">
        <v>815</v>
      </c>
    </row>
  </sheetData>
  <mergeCells count="3">
    <mergeCell ref="B2:C2"/>
    <mergeCell ref="D2:E2"/>
    <mergeCell ref="A1:F1"/>
  </mergeCells>
  <phoneticPr fontId="21" type="noConversion"/>
  <printOptions horizontalCentered="1"/>
  <pageMargins left="0" right="0" top="1.5" bottom="1" header="0.33" footer="0.5"/>
  <pageSetup fitToHeight="0" orientation="portrait" r:id="rId1"/>
  <headerFooter alignWithMargins="0">
    <oddHeader>&amp;C&amp;"Arial,Bold"&amp;12DEPARTMENT OF CORRECTIONS
 COST OF CARE Year 2021
(Based on Fiscal Year 2020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pageSetUpPr fitToPage="1"/>
  </sheetPr>
  <dimension ref="A1:J148"/>
  <sheetViews>
    <sheetView showGridLines="0" topLeftCell="B1" zoomScaleNormal="100" workbookViewId="0">
      <pane ySplit="2" topLeftCell="A102" activePane="bottomLeft" state="frozen"/>
      <selection activeCell="B35" sqref="B35"/>
      <selection pane="bottomLeft" activeCell="H121" sqref="H121"/>
    </sheetView>
  </sheetViews>
  <sheetFormatPr defaultColWidth="9.140625" defaultRowHeight="12.75" x14ac:dyDescent="0.2"/>
  <cols>
    <col min="1" max="1" width="22.85546875" style="525" customWidth="1"/>
    <col min="2" max="2" width="9.140625" style="525"/>
    <col min="3" max="3" width="25.28515625" style="525" customWidth="1"/>
    <col min="4" max="4" width="15.140625" style="525" customWidth="1"/>
    <col min="5" max="5" width="15" style="525" customWidth="1"/>
    <col min="6" max="6" width="19.140625" style="525" customWidth="1"/>
    <col min="7" max="7" width="10.140625" style="525" customWidth="1"/>
    <col min="8" max="8" width="15.42578125" style="525" customWidth="1"/>
    <col min="9" max="9" width="12.28515625" style="525" bestFit="1" customWidth="1"/>
    <col min="10" max="10" width="10.5703125" style="525" bestFit="1" customWidth="1"/>
    <col min="11" max="16384" width="9.140625" style="525"/>
  </cols>
  <sheetData>
    <row r="1" spans="1:9" ht="29.25" customHeight="1" thickBot="1" x14ac:dyDescent="0.25">
      <c r="A1" s="872" t="s">
        <v>105</v>
      </c>
      <c r="B1" s="872"/>
      <c r="C1" s="872"/>
      <c r="D1" s="872"/>
      <c r="E1" s="872"/>
      <c r="F1" s="872"/>
    </row>
    <row r="2" spans="1:9" ht="36.75" customHeight="1" thickTop="1" thickBot="1" x14ac:dyDescent="0.25">
      <c r="A2" s="576" t="s">
        <v>1</v>
      </c>
      <c r="B2" s="881" t="s">
        <v>48</v>
      </c>
      <c r="C2" s="882"/>
      <c r="D2" s="873" t="s">
        <v>4</v>
      </c>
      <c r="E2" s="874"/>
      <c r="F2" s="577" t="s">
        <v>26</v>
      </c>
      <c r="G2" s="528" t="s">
        <v>476</v>
      </c>
      <c r="H2" s="529"/>
    </row>
    <row r="3" spans="1:9" ht="15" customHeight="1" thickTop="1" x14ac:dyDescent="0.2">
      <c r="A3" s="578" t="s">
        <v>567</v>
      </c>
      <c r="B3" s="883" t="s">
        <v>215</v>
      </c>
      <c r="C3" s="884"/>
      <c r="D3" s="579"/>
      <c r="E3" s="580">
        <v>0</v>
      </c>
      <c r="F3" s="581"/>
    </row>
    <row r="4" spans="1:9" x14ac:dyDescent="0.2">
      <c r="A4" s="582" t="s">
        <v>566</v>
      </c>
      <c r="B4" s="583" t="s">
        <v>49</v>
      </c>
      <c r="C4" s="584"/>
      <c r="D4" s="557"/>
      <c r="E4" s="533">
        <v>0</v>
      </c>
      <c r="F4" s="533"/>
    </row>
    <row r="5" spans="1:9" x14ac:dyDescent="0.2">
      <c r="A5" s="428"/>
      <c r="B5" s="585" t="s">
        <v>116</v>
      </c>
      <c r="C5" s="534"/>
      <c r="D5" s="535"/>
      <c r="E5" s="566">
        <f>SUM(D6:D10)</f>
        <v>0</v>
      </c>
      <c r="F5" s="535"/>
    </row>
    <row r="6" spans="1:9" x14ac:dyDescent="0.2">
      <c r="A6" s="428"/>
      <c r="B6" s="536"/>
      <c r="C6" s="534" t="s">
        <v>246</v>
      </c>
      <c r="D6" s="535">
        <v>0</v>
      </c>
      <c r="E6" s="535"/>
      <c r="F6" s="535"/>
    </row>
    <row r="7" spans="1:9" x14ac:dyDescent="0.2">
      <c r="A7" s="428"/>
      <c r="B7" s="536"/>
      <c r="C7" s="534" t="s">
        <v>248</v>
      </c>
      <c r="D7" s="535">
        <v>0</v>
      </c>
      <c r="E7" s="535"/>
      <c r="F7" s="535"/>
    </row>
    <row r="8" spans="1:9" x14ac:dyDescent="0.2">
      <c r="A8" s="428"/>
      <c r="B8" s="536"/>
      <c r="C8" s="534" t="s">
        <v>249</v>
      </c>
      <c r="D8" s="535">
        <v>0</v>
      </c>
      <c r="E8" s="535"/>
      <c r="F8" s="535"/>
    </row>
    <row r="9" spans="1:9" x14ac:dyDescent="0.2">
      <c r="A9" s="428"/>
      <c r="B9" s="536"/>
      <c r="C9" s="534" t="s">
        <v>251</v>
      </c>
      <c r="D9" s="535">
        <v>0</v>
      </c>
      <c r="E9" s="535"/>
      <c r="F9" s="535"/>
    </row>
    <row r="10" spans="1:9" x14ac:dyDescent="0.2">
      <c r="A10" s="428"/>
      <c r="B10" s="536"/>
      <c r="C10" s="534" t="s">
        <v>378</v>
      </c>
      <c r="D10" s="535">
        <v>0</v>
      </c>
      <c r="E10" s="535"/>
      <c r="F10" s="535"/>
    </row>
    <row r="11" spans="1:9" x14ac:dyDescent="0.2">
      <c r="A11" s="428"/>
      <c r="B11" s="536"/>
      <c r="C11" s="567" t="s">
        <v>252</v>
      </c>
      <c r="D11" s="535">
        <v>0</v>
      </c>
      <c r="E11" s="566">
        <f>SUM(D11)</f>
        <v>0</v>
      </c>
      <c r="F11" s="535"/>
      <c r="I11" s="537"/>
    </row>
    <row r="12" spans="1:9" x14ac:dyDescent="0.2">
      <c r="A12" s="428"/>
      <c r="B12" s="568" t="s">
        <v>377</v>
      </c>
      <c r="C12" s="539"/>
      <c r="D12" s="535"/>
      <c r="E12" s="566">
        <f>SUM(D13:D15)</f>
        <v>0</v>
      </c>
      <c r="F12" s="535"/>
    </row>
    <row r="13" spans="1:9" x14ac:dyDescent="0.2">
      <c r="A13" s="428"/>
      <c r="B13" s="536"/>
      <c r="C13" s="538" t="s">
        <v>253</v>
      </c>
      <c r="D13" s="535">
        <v>0</v>
      </c>
      <c r="E13" s="535"/>
      <c r="F13" s="535"/>
    </row>
    <row r="14" spans="1:9" x14ac:dyDescent="0.2">
      <c r="A14" s="428"/>
      <c r="B14" s="536"/>
      <c r="C14" s="539" t="s">
        <v>257</v>
      </c>
      <c r="D14" s="535">
        <v>0</v>
      </c>
      <c r="E14" s="535"/>
      <c r="F14" s="535"/>
    </row>
    <row r="15" spans="1:9" x14ac:dyDescent="0.2">
      <c r="A15" s="428"/>
      <c r="B15" s="536"/>
      <c r="C15" s="539" t="s">
        <v>115</v>
      </c>
      <c r="D15" s="535">
        <v>0</v>
      </c>
      <c r="E15" s="535"/>
      <c r="F15" s="535"/>
    </row>
    <row r="16" spans="1:9" x14ac:dyDescent="0.2">
      <c r="A16" s="428"/>
      <c r="B16" s="586" t="s">
        <v>258</v>
      </c>
      <c r="C16" s="542"/>
      <c r="D16" s="553">
        <v>0</v>
      </c>
      <c r="E16" s="543">
        <f>SUM(D16)</f>
        <v>0</v>
      </c>
      <c r="F16" s="535"/>
    </row>
    <row r="17" spans="1:9" ht="13.5" thickBot="1" x14ac:dyDescent="0.25">
      <c r="A17" s="587"/>
      <c r="B17" s="588"/>
      <c r="C17" s="589"/>
      <c r="D17" s="558"/>
      <c r="E17" s="551"/>
      <c r="F17" s="740">
        <f>SUM(E3:E16)</f>
        <v>0</v>
      </c>
      <c r="H17" s="549">
        <f>F17-0</f>
        <v>0</v>
      </c>
    </row>
    <row r="18" spans="1:9" ht="13.5" thickTop="1" x14ac:dyDescent="0.2">
      <c r="A18" s="590" t="s">
        <v>332</v>
      </c>
      <c r="B18" s="877" t="s">
        <v>215</v>
      </c>
      <c r="C18" s="878"/>
      <c r="D18" s="579"/>
      <c r="E18" s="580">
        <f>12910.19+317359.24+187305.56-9613.1</f>
        <v>507961.89</v>
      </c>
      <c r="F18" s="581"/>
      <c r="G18" s="525" t="s">
        <v>712</v>
      </c>
    </row>
    <row r="19" spans="1:9" x14ac:dyDescent="0.2">
      <c r="A19" s="582"/>
      <c r="B19" s="583" t="s">
        <v>49</v>
      </c>
      <c r="C19" s="584"/>
      <c r="D19" s="557"/>
      <c r="E19" s="533">
        <v>436.75</v>
      </c>
      <c r="F19" s="533"/>
    </row>
    <row r="20" spans="1:9" x14ac:dyDescent="0.2">
      <c r="A20" s="428"/>
      <c r="B20" s="562" t="s">
        <v>477</v>
      </c>
      <c r="C20" s="534"/>
      <c r="D20" s="535">
        <v>20642.099999999999</v>
      </c>
      <c r="E20" s="566">
        <f>SUM(D20:D23)</f>
        <v>20642.099999999999</v>
      </c>
      <c r="F20" s="535"/>
    </row>
    <row r="21" spans="1:9" x14ac:dyDescent="0.2">
      <c r="A21" s="428"/>
      <c r="B21" s="564" t="s">
        <v>482</v>
      </c>
      <c r="C21" s="534"/>
      <c r="D21" s="535">
        <v>0</v>
      </c>
      <c r="E21" s="535"/>
      <c r="F21" s="535"/>
      <c r="G21" s="525">
        <v>3019</v>
      </c>
    </row>
    <row r="22" spans="1:9" x14ac:dyDescent="0.2">
      <c r="A22" s="428"/>
      <c r="B22" s="564" t="s">
        <v>484</v>
      </c>
      <c r="C22" s="534"/>
      <c r="D22" s="535">
        <v>0</v>
      </c>
      <c r="E22" s="535"/>
      <c r="F22" s="535"/>
      <c r="G22" s="525">
        <v>3033</v>
      </c>
    </row>
    <row r="23" spans="1:9" x14ac:dyDescent="0.2">
      <c r="A23" s="428"/>
      <c r="B23" s="564" t="s">
        <v>504</v>
      </c>
      <c r="C23" s="534"/>
      <c r="D23" s="535">
        <v>0</v>
      </c>
      <c r="E23" s="535"/>
      <c r="F23" s="535"/>
      <c r="G23" s="525">
        <v>3069</v>
      </c>
    </row>
    <row r="24" spans="1:9" x14ac:dyDescent="0.2">
      <c r="A24" s="428"/>
      <c r="B24" s="567" t="s">
        <v>252</v>
      </c>
      <c r="C24" s="567"/>
      <c r="D24" s="535">
        <v>51497.32</v>
      </c>
      <c r="E24" s="566">
        <f>SUM(D24)</f>
        <v>51497.32</v>
      </c>
      <c r="F24" s="535"/>
    </row>
    <row r="25" spans="1:9" x14ac:dyDescent="0.2">
      <c r="A25" s="428"/>
      <c r="B25" s="568" t="s">
        <v>377</v>
      </c>
      <c r="C25" s="539"/>
      <c r="D25" s="535"/>
      <c r="E25" s="566">
        <f>D26+D27</f>
        <v>254648.75</v>
      </c>
      <c r="F25" s="535"/>
    </row>
    <row r="26" spans="1:9" x14ac:dyDescent="0.2">
      <c r="A26" s="428"/>
      <c r="B26" s="536"/>
      <c r="C26" s="538" t="s">
        <v>767</v>
      </c>
      <c r="D26" s="535">
        <v>8450.34</v>
      </c>
      <c r="E26" s="535"/>
      <c r="F26" s="535"/>
    </row>
    <row r="27" spans="1:9" x14ac:dyDescent="0.2">
      <c r="A27" s="428"/>
      <c r="B27" s="536"/>
      <c r="C27" s="538" t="s">
        <v>115</v>
      </c>
      <c r="D27" s="535">
        <v>246198.41</v>
      </c>
      <c r="E27" s="535"/>
      <c r="F27" s="535"/>
    </row>
    <row r="28" spans="1:9" x14ac:dyDescent="0.2">
      <c r="A28" s="428"/>
      <c r="B28" s="568" t="s">
        <v>702</v>
      </c>
      <c r="C28" s="539"/>
      <c r="D28" s="535">
        <v>18000</v>
      </c>
      <c r="E28" s="566">
        <f>D28</f>
        <v>18000</v>
      </c>
      <c r="F28" s="535"/>
    </row>
    <row r="29" spans="1:9" x14ac:dyDescent="0.2">
      <c r="A29" s="428"/>
      <c r="B29" s="887" t="s">
        <v>258</v>
      </c>
      <c r="C29" s="888"/>
      <c r="D29" s="553">
        <f>291062.2+63085.04-35396</f>
        <v>318751.24</v>
      </c>
      <c r="E29" s="569">
        <f>SUM(D29)</f>
        <v>318751.24</v>
      </c>
      <c r="F29" s="543"/>
      <c r="G29" s="525">
        <v>5002</v>
      </c>
    </row>
    <row r="30" spans="1:9" x14ac:dyDescent="0.2">
      <c r="A30" s="428"/>
      <c r="B30" s="541" t="s">
        <v>822</v>
      </c>
      <c r="C30" s="542"/>
      <c r="D30" s="535"/>
      <c r="E30" s="614">
        <v>-93115.19</v>
      </c>
      <c r="F30" s="543"/>
      <c r="H30" s="806">
        <f>93115.19</f>
        <v>93115.19</v>
      </c>
      <c r="I30" s="525" t="s">
        <v>821</v>
      </c>
    </row>
    <row r="31" spans="1:9" ht="13.5" thickBot="1" x14ac:dyDescent="0.25">
      <c r="A31" s="587"/>
      <c r="B31" s="588"/>
      <c r="C31" s="589"/>
      <c r="D31" s="591"/>
      <c r="E31" s="548"/>
      <c r="F31" s="740">
        <f>SUM(E18:E30)</f>
        <v>1078822.8599999999</v>
      </c>
      <c r="G31" s="537"/>
      <c r="H31" s="549">
        <f>F31+H30-1171938.05</f>
        <v>0</v>
      </c>
    </row>
    <row r="32" spans="1:9" ht="15" customHeight="1" x14ac:dyDescent="0.2">
      <c r="A32" s="592" t="s">
        <v>561</v>
      </c>
      <c r="B32" s="879" t="s">
        <v>215</v>
      </c>
      <c r="C32" s="880"/>
      <c r="D32" s="533"/>
      <c r="E32" s="593">
        <f>22908222.67+11727406.27-74129.47</f>
        <v>34561499.469999999</v>
      </c>
      <c r="F32" s="594"/>
      <c r="H32" s="525" t="s">
        <v>818</v>
      </c>
    </row>
    <row r="33" spans="1:9" x14ac:dyDescent="0.2">
      <c r="A33" s="582" t="s">
        <v>560</v>
      </c>
      <c r="B33" s="583" t="s">
        <v>662</v>
      </c>
      <c r="C33" s="584"/>
      <c r="D33" s="557"/>
      <c r="E33" s="533">
        <f>393469.63+13218.84+15293.55-5873.9</f>
        <v>416108.12</v>
      </c>
      <c r="F33" s="533"/>
    </row>
    <row r="34" spans="1:9" x14ac:dyDescent="0.2">
      <c r="A34" s="428"/>
      <c r="B34" s="562" t="s">
        <v>477</v>
      </c>
      <c r="C34" s="534"/>
      <c r="D34" s="535">
        <v>24605069.140000001</v>
      </c>
      <c r="E34" s="566">
        <f>D34</f>
        <v>24605069.140000001</v>
      </c>
      <c r="F34" s="535"/>
      <c r="G34" s="525">
        <v>3000</v>
      </c>
    </row>
    <row r="35" spans="1:9" x14ac:dyDescent="0.2">
      <c r="A35" s="428"/>
      <c r="B35" s="567" t="s">
        <v>252</v>
      </c>
      <c r="C35" s="567"/>
      <c r="D35" s="535">
        <v>3297922.64</v>
      </c>
      <c r="E35" s="566">
        <f>D35</f>
        <v>3297922.64</v>
      </c>
      <c r="F35" s="535"/>
      <c r="G35" s="525">
        <v>3001</v>
      </c>
    </row>
    <row r="36" spans="1:9" x14ac:dyDescent="0.2">
      <c r="A36" s="428"/>
      <c r="B36" s="568" t="s">
        <v>377</v>
      </c>
      <c r="C36" s="539"/>
      <c r="D36" s="535"/>
      <c r="E36" s="566">
        <f>SUM(D37:D41)</f>
        <v>6753687.6099999994</v>
      </c>
      <c r="F36" s="535"/>
    </row>
    <row r="37" spans="1:9" x14ac:dyDescent="0.2">
      <c r="A37" s="428"/>
      <c r="B37" s="536"/>
      <c r="C37" s="538" t="s">
        <v>253</v>
      </c>
      <c r="D37" s="535">
        <v>294056.75</v>
      </c>
      <c r="E37" s="535"/>
      <c r="F37" s="535"/>
    </row>
    <row r="38" spans="1:9" x14ac:dyDescent="0.2">
      <c r="A38" s="428"/>
      <c r="B38" s="536"/>
      <c r="C38" s="538" t="s">
        <v>255</v>
      </c>
      <c r="D38" s="535">
        <v>11755.97</v>
      </c>
      <c r="E38" s="535"/>
      <c r="F38" s="535"/>
    </row>
    <row r="39" spans="1:9" x14ac:dyDescent="0.2">
      <c r="A39" s="428"/>
      <c r="B39" s="536"/>
      <c r="C39" s="538" t="s">
        <v>256</v>
      </c>
      <c r="D39" s="535">
        <v>6447748.8899999997</v>
      </c>
      <c r="E39" s="535"/>
      <c r="F39" s="535"/>
    </row>
    <row r="40" spans="1:9" x14ac:dyDescent="0.2">
      <c r="A40" s="428"/>
      <c r="B40" s="536"/>
      <c r="C40" s="538" t="s">
        <v>257</v>
      </c>
      <c r="D40" s="535">
        <v>109.99</v>
      </c>
      <c r="E40" s="535"/>
      <c r="F40" s="535"/>
    </row>
    <row r="41" spans="1:9" x14ac:dyDescent="0.2">
      <c r="A41" s="428"/>
      <c r="B41" s="536"/>
      <c r="C41" s="538" t="s">
        <v>115</v>
      </c>
      <c r="D41" s="535">
        <v>16.010000000000002</v>
      </c>
      <c r="E41" s="535"/>
      <c r="F41" s="535"/>
    </row>
    <row r="42" spans="1:9" x14ac:dyDescent="0.2">
      <c r="A42" s="428"/>
      <c r="B42" s="568" t="s">
        <v>702</v>
      </c>
      <c r="C42" s="539"/>
      <c r="D42" s="535">
        <v>-130021.93</v>
      </c>
      <c r="E42" s="566">
        <f>D42</f>
        <v>-130021.93</v>
      </c>
      <c r="F42" s="535"/>
      <c r="G42" s="525">
        <v>4007</v>
      </c>
    </row>
    <row r="43" spans="1:9" x14ac:dyDescent="0.2">
      <c r="A43" s="428"/>
      <c r="B43" s="887" t="s">
        <v>258</v>
      </c>
      <c r="C43" s="888"/>
      <c r="D43" s="553">
        <v>272096.93</v>
      </c>
      <c r="E43" s="569">
        <f>SUM(D43)</f>
        <v>272096.93</v>
      </c>
      <c r="F43" s="543"/>
      <c r="G43" s="525">
        <v>5002</v>
      </c>
    </row>
    <row r="44" spans="1:9" x14ac:dyDescent="0.2">
      <c r="A44" s="428"/>
      <c r="B44" s="541" t="s">
        <v>713</v>
      </c>
      <c r="C44" s="542"/>
      <c r="D44" s="535"/>
      <c r="E44" s="538">
        <v>0</v>
      </c>
      <c r="F44" s="543"/>
      <c r="G44" s="525" t="s">
        <v>768</v>
      </c>
    </row>
    <row r="45" spans="1:9" x14ac:dyDescent="0.2">
      <c r="A45" s="428"/>
      <c r="B45" s="885" t="s">
        <v>714</v>
      </c>
      <c r="C45" s="886"/>
      <c r="D45" s="535"/>
      <c r="E45" s="613">
        <v>-135770</v>
      </c>
      <c r="F45" s="566"/>
      <c r="G45" s="741">
        <v>5014</v>
      </c>
      <c r="H45" s="559"/>
    </row>
    <row r="46" spans="1:9" x14ac:dyDescent="0.2">
      <c r="A46" s="428"/>
      <c r="B46" s="885" t="s">
        <v>715</v>
      </c>
      <c r="C46" s="886"/>
      <c r="D46" s="535"/>
      <c r="E46" s="538">
        <v>-52400</v>
      </c>
      <c r="F46" s="566"/>
      <c r="G46" s="741">
        <v>5301</v>
      </c>
      <c r="H46" s="554"/>
    </row>
    <row r="47" spans="1:9" x14ac:dyDescent="0.2">
      <c r="A47" s="428"/>
      <c r="B47" s="885" t="s">
        <v>716</v>
      </c>
      <c r="C47" s="886"/>
      <c r="D47" s="535"/>
      <c r="E47" s="538">
        <f>-35628.69-70800</f>
        <v>-106428.69</v>
      </c>
      <c r="F47" s="566"/>
      <c r="G47" s="741">
        <v>5301</v>
      </c>
      <c r="H47" s="554">
        <f>F49</f>
        <v>66281763.289999992</v>
      </c>
    </row>
    <row r="48" spans="1:9" x14ac:dyDescent="0.2">
      <c r="A48" s="428"/>
      <c r="B48" s="885" t="s">
        <v>848</v>
      </c>
      <c r="C48" s="886"/>
      <c r="D48" s="535"/>
      <c r="E48" s="538">
        <v>-3200000</v>
      </c>
      <c r="F48" s="566"/>
      <c r="H48" s="559">
        <f>135770+52400+106428.69+3200000</f>
        <v>3494598.69</v>
      </c>
      <c r="I48" s="525" t="s">
        <v>847</v>
      </c>
    </row>
    <row r="49" spans="1:10" ht="13.5" thickBot="1" x14ac:dyDescent="0.25">
      <c r="A49" s="428"/>
      <c r="B49" s="595"/>
      <c r="C49" s="558"/>
      <c r="D49" s="551"/>
      <c r="E49" s="596"/>
      <c r="F49" s="740">
        <f>SUM(E32:E49)</f>
        <v>66281763.289999992</v>
      </c>
      <c r="H49" s="555">
        <f>F49+H48</f>
        <v>69776361.979999989</v>
      </c>
      <c r="I49" s="525" t="s">
        <v>819</v>
      </c>
      <c r="J49" s="597"/>
    </row>
    <row r="50" spans="1:10" x14ac:dyDescent="0.2">
      <c r="A50" s="598" t="s">
        <v>399</v>
      </c>
      <c r="B50" s="879" t="s">
        <v>215</v>
      </c>
      <c r="C50" s="880"/>
      <c r="D50" s="599"/>
      <c r="E50" s="593">
        <f>214054.12+134999.66+314.1</f>
        <v>349367.88</v>
      </c>
      <c r="F50" s="594"/>
      <c r="H50" s="537"/>
    </row>
    <row r="51" spans="1:10" x14ac:dyDescent="0.2">
      <c r="A51" s="600" t="s">
        <v>439</v>
      </c>
      <c r="B51" s="583" t="s">
        <v>662</v>
      </c>
      <c r="C51" s="584"/>
      <c r="D51" s="557"/>
      <c r="E51" s="533">
        <f>7981.69+1112.51</f>
        <v>9094.1999999999989</v>
      </c>
      <c r="F51" s="533"/>
      <c r="H51" s="597"/>
    </row>
    <row r="52" spans="1:10" x14ac:dyDescent="0.2">
      <c r="A52" s="428"/>
      <c r="B52" s="562" t="s">
        <v>477</v>
      </c>
      <c r="C52" s="534"/>
      <c r="D52" s="535">
        <v>457619.24</v>
      </c>
      <c r="E52" s="566">
        <f>D52</f>
        <v>457619.24</v>
      </c>
      <c r="F52" s="535"/>
      <c r="G52" s="525">
        <v>3000</v>
      </c>
    </row>
    <row r="53" spans="1:10" x14ac:dyDescent="0.2">
      <c r="A53" s="428"/>
      <c r="B53" s="567" t="s">
        <v>252</v>
      </c>
      <c r="C53" s="567"/>
      <c r="D53" s="535">
        <v>40096.82</v>
      </c>
      <c r="E53" s="566">
        <f>D53</f>
        <v>40096.82</v>
      </c>
      <c r="F53" s="535"/>
    </row>
    <row r="54" spans="1:10" x14ac:dyDescent="0.2">
      <c r="A54" s="428"/>
      <c r="B54" s="568" t="s">
        <v>377</v>
      </c>
      <c r="C54" s="539"/>
      <c r="D54" s="535"/>
      <c r="E54" s="566">
        <f>SUM(D55:D60)</f>
        <v>502008.36</v>
      </c>
      <c r="F54" s="535"/>
    </row>
    <row r="55" spans="1:10" x14ac:dyDescent="0.2">
      <c r="A55" s="428"/>
      <c r="B55" s="536"/>
      <c r="C55" s="538" t="s">
        <v>253</v>
      </c>
      <c r="D55" s="535">
        <v>426480.19</v>
      </c>
      <c r="E55" s="535"/>
      <c r="F55" s="535"/>
    </row>
    <row r="56" spans="1:10" x14ac:dyDescent="0.2">
      <c r="A56" s="428"/>
      <c r="B56" s="536"/>
      <c r="C56" s="538" t="s">
        <v>254</v>
      </c>
      <c r="D56" s="535">
        <v>0</v>
      </c>
      <c r="E56" s="535"/>
      <c r="F56" s="535"/>
      <c r="G56" s="525">
        <v>4001</v>
      </c>
    </row>
    <row r="57" spans="1:10" x14ac:dyDescent="0.2">
      <c r="A57" s="428"/>
      <c r="B57" s="536"/>
      <c r="C57" s="538" t="s">
        <v>255</v>
      </c>
      <c r="D57" s="535">
        <v>4807.99</v>
      </c>
      <c r="E57" s="535"/>
      <c r="F57" s="535"/>
    </row>
    <row r="58" spans="1:10" ht="12" customHeight="1" x14ac:dyDescent="0.2">
      <c r="A58" s="428"/>
      <c r="B58" s="536"/>
      <c r="C58" s="538" t="s">
        <v>256</v>
      </c>
      <c r="D58" s="535">
        <v>53.02</v>
      </c>
      <c r="E58" s="535"/>
      <c r="F58" s="535"/>
      <c r="G58" s="525">
        <v>4004</v>
      </c>
    </row>
    <row r="59" spans="1:10" ht="12" customHeight="1" x14ac:dyDescent="0.2">
      <c r="A59" s="428"/>
      <c r="B59" s="536"/>
      <c r="C59" s="538" t="s">
        <v>257</v>
      </c>
      <c r="D59" s="535">
        <v>0</v>
      </c>
      <c r="E59" s="535"/>
      <c r="F59" s="535"/>
      <c r="G59" s="525">
        <v>4004</v>
      </c>
    </row>
    <row r="60" spans="1:10" ht="12" customHeight="1" x14ac:dyDescent="0.2">
      <c r="A60" s="428"/>
      <c r="B60" s="536"/>
      <c r="C60" s="538" t="s">
        <v>115</v>
      </c>
      <c r="D60" s="535">
        <v>70667.16</v>
      </c>
      <c r="E60" s="535"/>
      <c r="F60" s="535"/>
    </row>
    <row r="61" spans="1:10" x14ac:dyDescent="0.2">
      <c r="A61" s="428"/>
      <c r="B61" s="568" t="s">
        <v>702</v>
      </c>
      <c r="C61" s="539"/>
      <c r="D61" s="535">
        <v>-20905.060000000001</v>
      </c>
      <c r="E61" s="566">
        <f>D61</f>
        <v>-20905.060000000001</v>
      </c>
      <c r="F61" s="535"/>
      <c r="G61" s="525">
        <v>4007</v>
      </c>
    </row>
    <row r="62" spans="1:10" x14ac:dyDescent="0.2">
      <c r="A62" s="428"/>
      <c r="B62" s="586" t="s">
        <v>258</v>
      </c>
      <c r="C62" s="542"/>
      <c r="D62" s="535">
        <v>0</v>
      </c>
      <c r="E62" s="569">
        <f>SUM(D62)</f>
        <v>0</v>
      </c>
      <c r="F62" s="543"/>
    </row>
    <row r="63" spans="1:10" x14ac:dyDescent="0.2">
      <c r="A63" s="428"/>
      <c r="B63" s="541" t="s">
        <v>746</v>
      </c>
      <c r="C63" s="542"/>
      <c r="D63" s="535"/>
      <c r="E63" s="614">
        <v>0</v>
      </c>
      <c r="F63" s="543"/>
    </row>
    <row r="64" spans="1:10" x14ac:dyDescent="0.2">
      <c r="A64" s="428"/>
      <c r="B64" s="885" t="s">
        <v>717</v>
      </c>
      <c r="C64" s="886"/>
      <c r="D64" s="553"/>
      <c r="E64" s="614">
        <v>0</v>
      </c>
      <c r="F64" s="543"/>
    </row>
    <row r="65" spans="1:9" x14ac:dyDescent="0.2">
      <c r="A65" s="428"/>
      <c r="B65" s="885" t="s">
        <v>718</v>
      </c>
      <c r="C65" s="886"/>
      <c r="D65" s="553"/>
      <c r="E65" s="614">
        <v>-10000</v>
      </c>
      <c r="F65" s="543"/>
      <c r="H65" s="559">
        <v>0</v>
      </c>
      <c r="I65" s="525" t="s">
        <v>769</v>
      </c>
    </row>
    <row r="66" spans="1:9" x14ac:dyDescent="0.2">
      <c r="A66" s="428"/>
      <c r="B66" s="885" t="s">
        <v>719</v>
      </c>
      <c r="C66" s="886"/>
      <c r="D66" s="535"/>
      <c r="E66" s="614">
        <v>-32916</v>
      </c>
      <c r="F66" s="566"/>
      <c r="G66" s="525">
        <v>70200</v>
      </c>
      <c r="H66" s="537">
        <f>10000+0+32916</f>
        <v>42916</v>
      </c>
      <c r="I66" s="525" t="s">
        <v>720</v>
      </c>
    </row>
    <row r="67" spans="1:9" ht="13.5" thickBot="1" x14ac:dyDescent="0.25">
      <c r="A67" s="428"/>
      <c r="B67" s="875"/>
      <c r="C67" s="876"/>
      <c r="D67" s="601"/>
      <c r="E67" s="603"/>
      <c r="F67" s="740">
        <f>SUM(E50:E67)</f>
        <v>1294365.44</v>
      </c>
      <c r="G67" s="525">
        <v>70200</v>
      </c>
      <c r="H67" s="696">
        <f>F67+H66+H65</f>
        <v>1337281.44</v>
      </c>
      <c r="I67" s="525" t="s">
        <v>820</v>
      </c>
    </row>
    <row r="68" spans="1:9" ht="13.15" customHeight="1" x14ac:dyDescent="0.2">
      <c r="A68" s="602" t="s">
        <v>721</v>
      </c>
      <c r="B68" s="879" t="s">
        <v>215</v>
      </c>
      <c r="C68" s="880"/>
      <c r="D68" s="599"/>
      <c r="E68" s="599">
        <f>627390.36+379397.76-6506.57</f>
        <v>1000281.55</v>
      </c>
      <c r="F68" s="594"/>
      <c r="H68" s="597"/>
    </row>
    <row r="69" spans="1:9" x14ac:dyDescent="0.2">
      <c r="A69" s="540"/>
      <c r="B69" s="583" t="s">
        <v>662</v>
      </c>
      <c r="C69" s="584"/>
      <c r="D69" s="557"/>
      <c r="E69" s="533">
        <f>5560.3+3632.3-423.9</f>
        <v>8768.7000000000007</v>
      </c>
      <c r="F69" s="533"/>
      <c r="H69" s="537"/>
    </row>
    <row r="70" spans="1:9" x14ac:dyDescent="0.2">
      <c r="A70" s="428"/>
      <c r="B70" s="562" t="s">
        <v>477</v>
      </c>
      <c r="C70" s="534"/>
      <c r="D70" s="535">
        <v>58750.86</v>
      </c>
      <c r="E70" s="566">
        <f>D70</f>
        <v>58750.86</v>
      </c>
      <c r="F70" s="535"/>
      <c r="H70" s="537"/>
    </row>
    <row r="71" spans="1:9" x14ac:dyDescent="0.2">
      <c r="A71" s="428"/>
      <c r="B71" s="567" t="s">
        <v>252</v>
      </c>
      <c r="C71" s="567"/>
      <c r="D71" s="535">
        <v>552569.26</v>
      </c>
      <c r="E71" s="566">
        <f>D71</f>
        <v>552569.26</v>
      </c>
      <c r="F71" s="566"/>
      <c r="H71" s="559"/>
    </row>
    <row r="72" spans="1:9" x14ac:dyDescent="0.2">
      <c r="A72" s="428"/>
      <c r="B72" s="568" t="s">
        <v>377</v>
      </c>
      <c r="C72" s="539"/>
      <c r="D72" s="535"/>
      <c r="E72" s="566">
        <f>SUM(D73:D74)</f>
        <v>23980.5</v>
      </c>
      <c r="F72" s="535"/>
    </row>
    <row r="73" spans="1:9" x14ac:dyDescent="0.2">
      <c r="A73" s="600"/>
      <c r="B73" s="536"/>
      <c r="C73" s="534" t="s">
        <v>253</v>
      </c>
      <c r="D73" s="535">
        <v>20846</v>
      </c>
      <c r="E73" s="535"/>
      <c r="F73" s="535"/>
      <c r="G73" s="525">
        <v>4000</v>
      </c>
    </row>
    <row r="74" spans="1:9" x14ac:dyDescent="0.2">
      <c r="A74" s="428"/>
      <c r="B74" s="536"/>
      <c r="C74" s="534" t="s">
        <v>257</v>
      </c>
      <c r="D74" s="535">
        <v>3134.5</v>
      </c>
      <c r="E74" s="535"/>
      <c r="F74" s="535"/>
      <c r="G74" s="525">
        <v>4002</v>
      </c>
    </row>
    <row r="75" spans="1:9" x14ac:dyDescent="0.2">
      <c r="A75" s="428"/>
      <c r="B75" s="568" t="s">
        <v>702</v>
      </c>
      <c r="C75" s="539"/>
      <c r="D75" s="535">
        <v>-93.48</v>
      </c>
      <c r="E75" s="566">
        <f>D75</f>
        <v>-93.48</v>
      </c>
      <c r="F75" s="535"/>
      <c r="G75" s="525">
        <v>4007</v>
      </c>
    </row>
    <row r="76" spans="1:9" x14ac:dyDescent="0.2">
      <c r="A76" s="428"/>
      <c r="B76" s="586" t="s">
        <v>258</v>
      </c>
      <c r="C76" s="542"/>
      <c r="D76" s="535">
        <v>0</v>
      </c>
      <c r="E76" s="569">
        <f>SUM(D76)</f>
        <v>0</v>
      </c>
      <c r="F76" s="535"/>
    </row>
    <row r="77" spans="1:9" ht="13.5" thickBot="1" x14ac:dyDescent="0.25">
      <c r="A77" s="540"/>
      <c r="B77" s="545"/>
      <c r="C77" s="546"/>
      <c r="D77" s="547"/>
      <c r="E77" s="548"/>
      <c r="F77" s="740">
        <f>SUM(E68:E76)</f>
        <v>1644257.3900000001</v>
      </c>
      <c r="H77" s="549">
        <f>F77-1644257.39</f>
        <v>0</v>
      </c>
    </row>
    <row r="78" spans="1:9" ht="13.15" customHeight="1" x14ac:dyDescent="0.2">
      <c r="A78" s="598" t="s">
        <v>262</v>
      </c>
      <c r="B78" s="879" t="s">
        <v>215</v>
      </c>
      <c r="C78" s="880"/>
      <c r="D78" s="599"/>
      <c r="E78" s="599">
        <f>723535.1+429509.9+1845.36</f>
        <v>1154890.3600000001</v>
      </c>
      <c r="F78" s="594"/>
      <c r="H78" s="597"/>
    </row>
    <row r="79" spans="1:9" x14ac:dyDescent="0.2">
      <c r="A79" s="540"/>
      <c r="B79" s="583" t="s">
        <v>49</v>
      </c>
      <c r="C79" s="584"/>
      <c r="D79" s="557"/>
      <c r="E79" s="533">
        <v>0</v>
      </c>
      <c r="F79" s="533"/>
    </row>
    <row r="80" spans="1:9" x14ac:dyDescent="0.2">
      <c r="A80" s="428"/>
      <c r="B80" s="562" t="s">
        <v>477</v>
      </c>
      <c r="C80" s="534"/>
      <c r="D80" s="535">
        <v>2376.7199999999998</v>
      </c>
      <c r="E80" s="566">
        <f>D80</f>
        <v>2376.7199999999998</v>
      </c>
      <c r="F80" s="535"/>
    </row>
    <row r="81" spans="1:8" x14ac:dyDescent="0.2">
      <c r="A81" s="428"/>
      <c r="B81" s="567" t="s">
        <v>252</v>
      </c>
      <c r="C81" s="567"/>
      <c r="D81" s="535">
        <v>27385.040000000001</v>
      </c>
      <c r="E81" s="566">
        <f>D81</f>
        <v>27385.040000000001</v>
      </c>
      <c r="F81" s="566"/>
      <c r="H81" s="559"/>
    </row>
    <row r="82" spans="1:8" x14ac:dyDescent="0.2">
      <c r="A82" s="428"/>
      <c r="B82" s="568" t="s">
        <v>377</v>
      </c>
      <c r="C82" s="539"/>
      <c r="D82" s="535"/>
      <c r="E82" s="566">
        <f>SUM(D83:D86)</f>
        <v>3875.88</v>
      </c>
      <c r="F82" s="535"/>
    </row>
    <row r="83" spans="1:8" x14ac:dyDescent="0.2">
      <c r="A83" s="600"/>
      <c r="B83" s="536"/>
      <c r="C83" s="534" t="s">
        <v>253</v>
      </c>
      <c r="D83" s="535">
        <v>3490.69</v>
      </c>
      <c r="E83" s="535"/>
      <c r="F83" s="535"/>
      <c r="G83" s="525">
        <v>4000</v>
      </c>
    </row>
    <row r="84" spans="1:8" x14ac:dyDescent="0.2">
      <c r="A84" s="428"/>
      <c r="B84" s="536"/>
      <c r="C84" s="534" t="s">
        <v>255</v>
      </c>
      <c r="D84" s="535">
        <v>227.59</v>
      </c>
      <c r="E84" s="535"/>
      <c r="F84" s="535"/>
      <c r="G84" s="525">
        <v>4002</v>
      </c>
    </row>
    <row r="85" spans="1:8" x14ac:dyDescent="0.2">
      <c r="A85" s="428"/>
      <c r="B85" s="541"/>
      <c r="C85" s="615" t="s">
        <v>563</v>
      </c>
      <c r="D85" s="535">
        <v>0</v>
      </c>
      <c r="E85" s="543"/>
      <c r="F85" s="535"/>
      <c r="G85" s="525">
        <v>4005</v>
      </c>
    </row>
    <row r="86" spans="1:8" x14ac:dyDescent="0.2">
      <c r="A86" s="428"/>
      <c r="B86" s="541"/>
      <c r="C86" s="615" t="s">
        <v>257</v>
      </c>
      <c r="D86" s="535">
        <v>157.6</v>
      </c>
      <c r="E86" s="543"/>
      <c r="F86" s="535"/>
      <c r="G86" s="525">
        <v>4004</v>
      </c>
    </row>
    <row r="87" spans="1:8" x14ac:dyDescent="0.2">
      <c r="A87" s="428"/>
      <c r="B87" s="568" t="s">
        <v>702</v>
      </c>
      <c r="C87" s="539"/>
      <c r="D87" s="535">
        <v>-833.96</v>
      </c>
      <c r="E87" s="566">
        <f>D87</f>
        <v>-833.96</v>
      </c>
      <c r="F87" s="535"/>
      <c r="G87" s="525">
        <v>4007</v>
      </c>
    </row>
    <row r="88" spans="1:8" x14ac:dyDescent="0.2">
      <c r="A88" s="428"/>
      <c r="B88" s="586" t="s">
        <v>258</v>
      </c>
      <c r="C88" s="542"/>
      <c r="D88" s="535">
        <v>0</v>
      </c>
      <c r="E88" s="569">
        <f>SUM(D88)</f>
        <v>0</v>
      </c>
      <c r="F88" s="535"/>
    </row>
    <row r="89" spans="1:8" ht="13.5" thickBot="1" x14ac:dyDescent="0.25">
      <c r="A89" s="544"/>
      <c r="B89" s="545"/>
      <c r="C89" s="546"/>
      <c r="D89" s="547"/>
      <c r="E89" s="548"/>
      <c r="F89" s="740">
        <f>SUM(E78:E88)</f>
        <v>1187694.04</v>
      </c>
      <c r="H89" s="549">
        <f>F89-1187694.04</f>
        <v>0</v>
      </c>
    </row>
    <row r="90" spans="1:8" ht="13.15" customHeight="1" x14ac:dyDescent="0.2">
      <c r="A90" s="582" t="s">
        <v>54</v>
      </c>
      <c r="B90" s="879" t="s">
        <v>215</v>
      </c>
      <c r="C90" s="880"/>
      <c r="D90" s="599"/>
      <c r="E90" s="593">
        <f>1591929.92+818306.05-9158.1</f>
        <v>2401077.8699999996</v>
      </c>
      <c r="F90" s="594"/>
    </row>
    <row r="91" spans="1:8" x14ac:dyDescent="0.2">
      <c r="A91" s="428"/>
      <c r="B91" s="583" t="s">
        <v>49</v>
      </c>
      <c r="C91" s="584"/>
      <c r="D91" s="557"/>
      <c r="E91" s="533">
        <f>45621.18+17528.82</f>
        <v>63150</v>
      </c>
      <c r="F91" s="533"/>
    </row>
    <row r="92" spans="1:8" x14ac:dyDescent="0.2">
      <c r="A92" s="428"/>
      <c r="B92" s="562" t="s">
        <v>477</v>
      </c>
      <c r="C92" s="534"/>
      <c r="D92" s="535">
        <v>171812.4</v>
      </c>
      <c r="E92" s="566">
        <f>D92</f>
        <v>171812.4</v>
      </c>
      <c r="F92" s="535"/>
    </row>
    <row r="93" spans="1:8" x14ac:dyDescent="0.2">
      <c r="A93" s="428"/>
      <c r="B93" s="567" t="s">
        <v>252</v>
      </c>
      <c r="C93" s="534"/>
      <c r="D93" s="535">
        <v>195062.57</v>
      </c>
      <c r="E93" s="566">
        <f>D93</f>
        <v>195062.57</v>
      </c>
      <c r="F93" s="535"/>
    </row>
    <row r="94" spans="1:8" x14ac:dyDescent="0.2">
      <c r="A94" s="428"/>
      <c r="B94" s="568" t="s">
        <v>377</v>
      </c>
      <c r="C94" s="534"/>
      <c r="D94" s="535"/>
      <c r="E94" s="566">
        <f>SUM(D95:D99)</f>
        <v>53810.500000000007</v>
      </c>
      <c r="F94" s="535"/>
    </row>
    <row r="95" spans="1:8" x14ac:dyDescent="0.2">
      <c r="A95" s="428"/>
      <c r="B95" s="536"/>
      <c r="C95" s="534" t="s">
        <v>253</v>
      </c>
      <c r="D95" s="535">
        <v>50126.3</v>
      </c>
      <c r="E95" s="535"/>
      <c r="F95" s="535"/>
    </row>
    <row r="96" spans="1:8" x14ac:dyDescent="0.2">
      <c r="A96" s="428"/>
      <c r="B96" s="536"/>
      <c r="C96" s="534" t="s">
        <v>255</v>
      </c>
      <c r="D96" s="535">
        <v>3168.24</v>
      </c>
      <c r="E96" s="535"/>
      <c r="F96" s="535"/>
    </row>
    <row r="97" spans="1:9" x14ac:dyDescent="0.2">
      <c r="A97" s="428"/>
      <c r="B97" s="536"/>
      <c r="C97" s="615" t="s">
        <v>563</v>
      </c>
      <c r="D97" s="535">
        <v>-30.34</v>
      </c>
      <c r="E97" s="535"/>
      <c r="F97" s="535"/>
    </row>
    <row r="98" spans="1:9" x14ac:dyDescent="0.2">
      <c r="A98" s="428"/>
      <c r="B98" s="536"/>
      <c r="C98" s="615" t="s">
        <v>257</v>
      </c>
      <c r="D98" s="535">
        <v>546.29999999999995</v>
      </c>
      <c r="E98" s="535"/>
      <c r="F98" s="535"/>
    </row>
    <row r="99" spans="1:9" x14ac:dyDescent="0.2">
      <c r="A99" s="428"/>
      <c r="B99" s="536"/>
      <c r="C99" s="615" t="s">
        <v>115</v>
      </c>
      <c r="D99" s="535">
        <v>0</v>
      </c>
      <c r="E99" s="535"/>
      <c r="F99" s="535"/>
    </row>
    <row r="100" spans="1:9" x14ac:dyDescent="0.2">
      <c r="A100" s="428"/>
      <c r="B100" s="568" t="s">
        <v>702</v>
      </c>
      <c r="C100" s="539"/>
      <c r="D100" s="535">
        <v>-358.39</v>
      </c>
      <c r="E100" s="566">
        <f>D100</f>
        <v>-358.39</v>
      </c>
      <c r="F100" s="535"/>
      <c r="G100" s="525">
        <v>4007</v>
      </c>
    </row>
    <row r="101" spans="1:9" x14ac:dyDescent="0.2">
      <c r="A101" s="428"/>
      <c r="B101" s="586" t="s">
        <v>258</v>
      </c>
      <c r="C101" s="542"/>
      <c r="D101" s="535">
        <v>0</v>
      </c>
      <c r="E101" s="569">
        <f>SUM(D101)</f>
        <v>0</v>
      </c>
      <c r="F101" s="535"/>
      <c r="H101" s="559">
        <v>140000</v>
      </c>
      <c r="I101" s="525" t="s">
        <v>663</v>
      </c>
    </row>
    <row r="102" spans="1:9" ht="13.5" thickBot="1" x14ac:dyDescent="0.25">
      <c r="A102" s="544"/>
      <c r="B102" s="889" t="s">
        <v>722</v>
      </c>
      <c r="C102" s="890"/>
      <c r="D102" s="548"/>
      <c r="E102" s="603">
        <v>-140000</v>
      </c>
      <c r="F102" s="740">
        <f>SUM(E90:E102)</f>
        <v>2744554.9499999993</v>
      </c>
      <c r="H102" s="549">
        <f>F102-2884554.95+H101</f>
        <v>-9.3132257461547852E-10</v>
      </c>
    </row>
    <row r="103" spans="1:9" ht="13.15" customHeight="1" x14ac:dyDescent="0.2">
      <c r="A103" s="604" t="s">
        <v>263</v>
      </c>
      <c r="B103" s="879" t="s">
        <v>215</v>
      </c>
      <c r="C103" s="880"/>
      <c r="D103" s="599"/>
      <c r="E103" s="556">
        <v>0</v>
      </c>
      <c r="F103" s="594"/>
      <c r="G103" s="525">
        <v>1000</v>
      </c>
    </row>
    <row r="104" spans="1:9" x14ac:dyDescent="0.2">
      <c r="A104" s="428"/>
      <c r="B104" s="583" t="s">
        <v>49</v>
      </c>
      <c r="C104" s="584"/>
      <c r="D104" s="557"/>
      <c r="E104" s="533">
        <v>511742.21</v>
      </c>
      <c r="F104" s="533"/>
      <c r="G104" s="525">
        <v>2000</v>
      </c>
    </row>
    <row r="105" spans="1:9" x14ac:dyDescent="0.2">
      <c r="A105" s="428"/>
      <c r="B105" s="562" t="s">
        <v>477</v>
      </c>
      <c r="C105" s="534"/>
      <c r="D105" s="535">
        <v>20105.5</v>
      </c>
      <c r="E105" s="535">
        <f>D105</f>
        <v>20105.5</v>
      </c>
      <c r="F105" s="535"/>
      <c r="G105" s="525">
        <v>3000</v>
      </c>
    </row>
    <row r="106" spans="1:9" x14ac:dyDescent="0.2">
      <c r="A106" s="428"/>
      <c r="B106" s="567" t="s">
        <v>252</v>
      </c>
      <c r="C106" s="567"/>
      <c r="D106" s="535">
        <v>0</v>
      </c>
      <c r="E106" s="566">
        <f>SUM(D106)</f>
        <v>0</v>
      </c>
      <c r="F106" s="535"/>
    </row>
    <row r="107" spans="1:9" x14ac:dyDescent="0.2">
      <c r="A107" s="540"/>
      <c r="B107" s="586" t="s">
        <v>258</v>
      </c>
      <c r="C107" s="616"/>
      <c r="D107" s="535">
        <v>0</v>
      </c>
      <c r="E107" s="569">
        <f>D107</f>
        <v>0</v>
      </c>
      <c r="F107" s="535"/>
    </row>
    <row r="108" spans="1:9" ht="13.5" thickBot="1" x14ac:dyDescent="0.25">
      <c r="A108" s="544"/>
      <c r="B108" s="545"/>
      <c r="C108" s="546"/>
      <c r="D108" s="547"/>
      <c r="E108" s="548"/>
      <c r="F108" s="740">
        <f>SUM(E104:E108)</f>
        <v>531847.71</v>
      </c>
      <c r="H108" s="549">
        <f>F108-531847.71</f>
        <v>0</v>
      </c>
    </row>
    <row r="109" spans="1:9" ht="13.15" customHeight="1" x14ac:dyDescent="0.2">
      <c r="A109" s="604" t="s">
        <v>665</v>
      </c>
      <c r="B109" s="879" t="s">
        <v>215</v>
      </c>
      <c r="C109" s="880"/>
      <c r="D109" s="599"/>
      <c r="E109" s="556">
        <f>3059345.08+2039334.39-18282.05</f>
        <v>5080397.42</v>
      </c>
      <c r="F109" s="594"/>
      <c r="G109" s="525">
        <v>1000</v>
      </c>
    </row>
    <row r="110" spans="1:9" x14ac:dyDescent="0.2">
      <c r="A110" s="428"/>
      <c r="B110" s="583" t="s">
        <v>49</v>
      </c>
      <c r="C110" s="584"/>
      <c r="D110" s="557">
        <f>38994.31+3270.71+1108.74</f>
        <v>43373.759999999995</v>
      </c>
      <c r="E110" s="654">
        <f>D110</f>
        <v>43373.759999999995</v>
      </c>
      <c r="F110" s="533"/>
      <c r="G110" s="525">
        <v>2000</v>
      </c>
    </row>
    <row r="111" spans="1:9" x14ac:dyDescent="0.2">
      <c r="A111" s="428"/>
      <c r="B111" s="562" t="s">
        <v>477</v>
      </c>
      <c r="C111" s="534"/>
      <c r="D111" s="535">
        <v>3840061.22</v>
      </c>
      <c r="E111" s="566">
        <f>D111</f>
        <v>3840061.22</v>
      </c>
      <c r="F111" s="535"/>
      <c r="G111" s="525">
        <v>3000</v>
      </c>
    </row>
    <row r="112" spans="1:9" x14ac:dyDescent="0.2">
      <c r="A112" s="428"/>
      <c r="B112" s="567" t="s">
        <v>252</v>
      </c>
      <c r="C112" s="567"/>
      <c r="D112" s="535">
        <v>910311.2</v>
      </c>
      <c r="E112" s="566">
        <f>SUM(D112)</f>
        <v>910311.2</v>
      </c>
      <c r="F112" s="535"/>
    </row>
    <row r="113" spans="1:8" x14ac:dyDescent="0.2">
      <c r="A113" s="540"/>
      <c r="B113" s="616" t="s">
        <v>377</v>
      </c>
      <c r="C113" s="616"/>
      <c r="D113" s="535"/>
      <c r="E113" s="566">
        <f>SUM(D114:D118)</f>
        <v>245084.31000000003</v>
      </c>
      <c r="F113" s="535"/>
    </row>
    <row r="114" spans="1:8" x14ac:dyDescent="0.2">
      <c r="A114" s="540"/>
      <c r="B114" s="536"/>
      <c r="C114" s="534" t="s">
        <v>253</v>
      </c>
      <c r="D114" s="535">
        <v>75215.56</v>
      </c>
      <c r="E114" s="569"/>
      <c r="F114" s="535"/>
    </row>
    <row r="115" spans="1:8" x14ac:dyDescent="0.2">
      <c r="A115" s="540"/>
      <c r="B115" s="536"/>
      <c r="C115" s="534" t="s">
        <v>255</v>
      </c>
      <c r="D115" s="535">
        <v>7387.75</v>
      </c>
      <c r="E115" s="569"/>
      <c r="F115" s="535"/>
    </row>
    <row r="116" spans="1:8" x14ac:dyDescent="0.2">
      <c r="A116" s="540"/>
      <c r="B116" s="536"/>
      <c r="C116" s="615" t="s">
        <v>563</v>
      </c>
      <c r="D116" s="535">
        <v>45925.58</v>
      </c>
      <c r="E116" s="569"/>
      <c r="F116" s="535"/>
    </row>
    <row r="117" spans="1:8" x14ac:dyDescent="0.2">
      <c r="A117" s="540"/>
      <c r="B117" s="536"/>
      <c r="C117" s="615" t="s">
        <v>257</v>
      </c>
      <c r="D117" s="535">
        <v>70055.320000000007</v>
      </c>
      <c r="E117" s="569"/>
      <c r="F117" s="535"/>
    </row>
    <row r="118" spans="1:8" x14ac:dyDescent="0.2">
      <c r="A118" s="540"/>
      <c r="B118" s="536"/>
      <c r="C118" s="615" t="s">
        <v>115</v>
      </c>
      <c r="D118" s="535">
        <v>46500.1</v>
      </c>
      <c r="E118" s="569"/>
      <c r="F118" s="535"/>
    </row>
    <row r="119" spans="1:8" x14ac:dyDescent="0.2">
      <c r="A119" s="428"/>
      <c r="B119" s="568" t="s">
        <v>702</v>
      </c>
      <c r="C119" s="539"/>
      <c r="D119" s="535">
        <v>-2974.6</v>
      </c>
      <c r="E119" s="566">
        <f>D119</f>
        <v>-2974.6</v>
      </c>
      <c r="F119" s="535"/>
      <c r="G119" s="525">
        <v>4007</v>
      </c>
    </row>
    <row r="120" spans="1:8" x14ac:dyDescent="0.2">
      <c r="A120" s="540"/>
      <c r="B120" s="586" t="s">
        <v>258</v>
      </c>
      <c r="C120" s="616"/>
      <c r="D120" s="535">
        <v>0</v>
      </c>
      <c r="E120" s="569">
        <f>D120</f>
        <v>0</v>
      </c>
      <c r="F120" s="535"/>
      <c r="H120" s="471"/>
    </row>
    <row r="121" spans="1:8" ht="13.5" thickBot="1" x14ac:dyDescent="0.25">
      <c r="A121" s="544"/>
      <c r="B121" s="545"/>
      <c r="C121" s="546"/>
      <c r="D121" s="547"/>
      <c r="E121" s="548"/>
      <c r="F121" s="740">
        <f>SUM(E109:E121)*0</f>
        <v>0</v>
      </c>
      <c r="H121" s="549">
        <f>F121-10116253.31</f>
        <v>-10116253.310000001</v>
      </c>
    </row>
    <row r="122" spans="1:8" ht="13.9" customHeight="1" x14ac:dyDescent="0.2">
      <c r="A122" s="604" t="s">
        <v>565</v>
      </c>
      <c r="B122" s="879" t="s">
        <v>215</v>
      </c>
      <c r="C122" s="880"/>
      <c r="D122" s="599"/>
      <c r="E122" s="556">
        <f>77281.62+46366.08-48833.4</f>
        <v>74814.299999999988</v>
      </c>
      <c r="F122" s="594"/>
    </row>
    <row r="123" spans="1:8" ht="12.75" customHeight="1" x14ac:dyDescent="0.2">
      <c r="A123" s="600" t="s">
        <v>564</v>
      </c>
      <c r="B123" s="583" t="s">
        <v>49</v>
      </c>
      <c r="C123" s="534"/>
      <c r="D123" s="535"/>
      <c r="E123" s="566">
        <f>D123</f>
        <v>0</v>
      </c>
      <c r="F123" s="535"/>
    </row>
    <row r="124" spans="1:8" ht="12.75" customHeight="1" x14ac:dyDescent="0.2">
      <c r="A124" s="428"/>
      <c r="B124" s="562" t="s">
        <v>477</v>
      </c>
      <c r="C124" s="567"/>
      <c r="D124" s="535"/>
      <c r="E124" s="566">
        <v>366548.94</v>
      </c>
      <c r="F124" s="535"/>
      <c r="H124" s="537"/>
    </row>
    <row r="125" spans="1:8" ht="12.75" customHeight="1" x14ac:dyDescent="0.2">
      <c r="A125" s="428"/>
      <c r="B125" s="567" t="s">
        <v>252</v>
      </c>
      <c r="C125" s="542"/>
      <c r="D125" s="535">
        <v>360481.27</v>
      </c>
      <c r="E125" s="569">
        <f>D125</f>
        <v>360481.27</v>
      </c>
      <c r="F125" s="543"/>
    </row>
    <row r="126" spans="1:8" x14ac:dyDescent="0.2">
      <c r="A126" s="540"/>
      <c r="B126" s="616" t="s">
        <v>377</v>
      </c>
      <c r="C126" s="616"/>
      <c r="D126" s="535"/>
      <c r="E126" s="566">
        <f>SUM(D127:D131)</f>
        <v>0</v>
      </c>
      <c r="F126" s="535"/>
    </row>
    <row r="127" spans="1:8" x14ac:dyDescent="0.2">
      <c r="A127" s="540"/>
      <c r="B127" s="536"/>
      <c r="C127" s="534" t="s">
        <v>253</v>
      </c>
      <c r="D127" s="535">
        <v>0</v>
      </c>
      <c r="E127" s="569"/>
      <c r="F127" s="535"/>
    </row>
    <row r="128" spans="1:8" x14ac:dyDescent="0.2">
      <c r="A128" s="540"/>
      <c r="B128" s="536"/>
      <c r="C128" s="534" t="s">
        <v>255</v>
      </c>
      <c r="D128" s="535">
        <v>0</v>
      </c>
      <c r="E128" s="569"/>
      <c r="F128" s="535"/>
    </row>
    <row r="129" spans="1:9" x14ac:dyDescent="0.2">
      <c r="A129" s="540"/>
      <c r="B129" s="536"/>
      <c r="C129" s="615" t="s">
        <v>563</v>
      </c>
      <c r="D129" s="535">
        <v>0</v>
      </c>
      <c r="E129" s="569"/>
      <c r="F129" s="535"/>
    </row>
    <row r="130" spans="1:9" x14ac:dyDescent="0.2">
      <c r="A130" s="540"/>
      <c r="B130" s="536"/>
      <c r="C130" s="615" t="s">
        <v>257</v>
      </c>
      <c r="D130" s="535">
        <v>0</v>
      </c>
      <c r="E130" s="569"/>
      <c r="F130" s="535"/>
    </row>
    <row r="131" spans="1:9" x14ac:dyDescent="0.2">
      <c r="A131" s="540"/>
      <c r="B131" s="536"/>
      <c r="C131" s="615" t="s">
        <v>115</v>
      </c>
      <c r="D131" s="535">
        <v>0</v>
      </c>
      <c r="E131" s="569"/>
      <c r="F131" s="535"/>
    </row>
    <row r="132" spans="1:9" ht="12.75" customHeight="1" x14ac:dyDescent="0.2">
      <c r="A132" s="552"/>
      <c r="B132" s="586" t="s">
        <v>258</v>
      </c>
      <c r="C132" s="542"/>
      <c r="D132" s="543">
        <v>0</v>
      </c>
      <c r="E132" s="569">
        <f>D132</f>
        <v>0</v>
      </c>
      <c r="F132" s="543"/>
      <c r="H132" s="838">
        <v>366548.94</v>
      </c>
    </row>
    <row r="133" spans="1:9" ht="13.5" customHeight="1" thickBot="1" x14ac:dyDescent="0.25">
      <c r="A133" s="544"/>
      <c r="B133" s="889" t="s">
        <v>897</v>
      </c>
      <c r="C133" s="890"/>
      <c r="D133" s="548"/>
      <c r="E133" s="603">
        <v>-366548.94</v>
      </c>
      <c r="F133" s="742">
        <f>SUM(E122:E133)</f>
        <v>435295.57</v>
      </c>
      <c r="H133" s="549">
        <f>F133+H132-435295.57-H132</f>
        <v>0</v>
      </c>
    </row>
    <row r="134" spans="1:9" x14ac:dyDescent="0.2">
      <c r="A134" s="604" t="s">
        <v>331</v>
      </c>
      <c r="B134" s="879"/>
      <c r="C134" s="880"/>
      <c r="D134" s="599"/>
      <c r="E134" s="556">
        <v>0</v>
      </c>
      <c r="F134" s="594"/>
    </row>
    <row r="135" spans="1:9" x14ac:dyDescent="0.2">
      <c r="A135" s="428"/>
      <c r="B135" s="585" t="s">
        <v>116</v>
      </c>
      <c r="C135" s="534"/>
      <c r="D135" s="535"/>
      <c r="E135" s="566">
        <f>SUM(D136:D140)</f>
        <v>43212.39</v>
      </c>
      <c r="F135" s="535"/>
    </row>
    <row r="136" spans="1:9" x14ac:dyDescent="0.2">
      <c r="A136" s="600"/>
      <c r="B136" s="536"/>
      <c r="C136" s="534" t="s">
        <v>247</v>
      </c>
      <c r="D136" s="535"/>
      <c r="E136" s="535"/>
      <c r="F136" s="535"/>
    </row>
    <row r="137" spans="1:9" x14ac:dyDescent="0.2">
      <c r="A137" s="600"/>
      <c r="B137" s="536"/>
      <c r="C137" s="534" t="s">
        <v>50</v>
      </c>
      <c r="D137" s="535">
        <v>43212.39</v>
      </c>
      <c r="E137" s="535"/>
      <c r="F137" s="535"/>
    </row>
    <row r="138" spans="1:9" ht="12.75" customHeight="1" x14ac:dyDescent="0.2">
      <c r="A138" s="428"/>
      <c r="B138" s="536"/>
      <c r="C138" s="534" t="s">
        <v>250</v>
      </c>
      <c r="D138" s="535">
        <v>0</v>
      </c>
      <c r="E138" s="535"/>
      <c r="F138" s="535"/>
    </row>
    <row r="139" spans="1:9" ht="12.75" customHeight="1" x14ac:dyDescent="0.2">
      <c r="A139" s="428"/>
      <c r="B139" s="536"/>
      <c r="C139" s="534" t="s">
        <v>251</v>
      </c>
      <c r="D139" s="535">
        <v>0</v>
      </c>
      <c r="E139" s="535"/>
      <c r="F139" s="535"/>
    </row>
    <row r="140" spans="1:9" x14ac:dyDescent="0.2">
      <c r="A140" s="428"/>
      <c r="B140" s="536"/>
      <c r="C140" s="534" t="s">
        <v>378</v>
      </c>
      <c r="D140" s="535">
        <v>0</v>
      </c>
      <c r="E140" s="535"/>
      <c r="F140" s="535"/>
      <c r="H140" s="554"/>
    </row>
    <row r="141" spans="1:9" ht="13.5" thickBot="1" x14ac:dyDescent="0.25">
      <c r="A141" s="544"/>
      <c r="B141" s="545"/>
      <c r="C141" s="546"/>
      <c r="D141" s="547"/>
      <c r="E141" s="548"/>
      <c r="F141" s="617">
        <f>SUM(E135:E141)</f>
        <v>43212.39</v>
      </c>
      <c r="H141" s="537">
        <f>H30+H48+H66+H101+H65+H132</f>
        <v>4137178.82</v>
      </c>
      <c r="I141" s="471" t="s">
        <v>747</v>
      </c>
    </row>
    <row r="142" spans="1:9" ht="13.5" thickBot="1" x14ac:dyDescent="0.25">
      <c r="A142" s="605" t="s">
        <v>569</v>
      </c>
      <c r="B142" s="606"/>
      <c r="E142" s="694" t="s">
        <v>724</v>
      </c>
      <c r="F142" s="559">
        <f>-'Sched-C'!$D$24</f>
        <v>-23793328.090000004</v>
      </c>
      <c r="H142" s="618">
        <f>F141+F133+F108+F102+F89+F77+F67+F49+F31+F17+F121</f>
        <v>75241813.639999986</v>
      </c>
      <c r="I142" s="525" t="s">
        <v>570</v>
      </c>
    </row>
    <row r="143" spans="1:9" s="510" customFormat="1" ht="21.75" customHeight="1" thickBot="1" x14ac:dyDescent="0.25">
      <c r="A143" s="607"/>
      <c r="B143" s="608" t="s">
        <v>6</v>
      </c>
      <c r="C143" s="609"/>
      <c r="D143" s="610"/>
      <c r="E143" s="611"/>
      <c r="F143" s="612">
        <f>SUM(F3:F142)</f>
        <v>51448485.549999982</v>
      </c>
      <c r="H143" s="807">
        <f>SUM(H141:H142)</f>
        <v>79378992.459999979</v>
      </c>
      <c r="I143" s="510" t="s">
        <v>723</v>
      </c>
    </row>
    <row r="144" spans="1:9" ht="13.5" thickTop="1" x14ac:dyDescent="0.2">
      <c r="F144" s="537"/>
      <c r="H144" s="619">
        <f>89085484.44+43212.39+366548.94-10116253.31</f>
        <v>79378992.459999993</v>
      </c>
      <c r="I144" s="525" t="s">
        <v>902</v>
      </c>
    </row>
    <row r="145" spans="1:9" x14ac:dyDescent="0.2">
      <c r="A145" s="620" t="s">
        <v>903</v>
      </c>
      <c r="H145" s="808">
        <f>H143-H144</f>
        <v>0</v>
      </c>
      <c r="I145" s="620" t="s">
        <v>568</v>
      </c>
    </row>
    <row r="146" spans="1:9" x14ac:dyDescent="0.2">
      <c r="A146" s="471" t="s">
        <v>823</v>
      </c>
      <c r="H146" s="537"/>
    </row>
    <row r="147" spans="1:9" x14ac:dyDescent="0.2">
      <c r="A147" s="743" t="s">
        <v>817</v>
      </c>
      <c r="H147" s="471"/>
    </row>
    <row r="148" spans="1:9" x14ac:dyDescent="0.2">
      <c r="A148" s="525" t="s">
        <v>901</v>
      </c>
      <c r="H148" s="698"/>
      <c r="I148" s="471"/>
    </row>
  </sheetData>
  <dataConsolidate/>
  <mergeCells count="26">
    <mergeCell ref="B78:C78"/>
    <mergeCell ref="B134:C134"/>
    <mergeCell ref="B68:C68"/>
    <mergeCell ref="B133:C133"/>
    <mergeCell ref="B43:C43"/>
    <mergeCell ref="B90:C90"/>
    <mergeCell ref="B102:C102"/>
    <mergeCell ref="B103:C103"/>
    <mergeCell ref="B122:C122"/>
    <mergeCell ref="B66:C66"/>
    <mergeCell ref="B46:C46"/>
    <mergeCell ref="B45:C45"/>
    <mergeCell ref="B47:C47"/>
    <mergeCell ref="B109:C109"/>
    <mergeCell ref="A1:F1"/>
    <mergeCell ref="D2:E2"/>
    <mergeCell ref="B67:C67"/>
    <mergeCell ref="B18:C18"/>
    <mergeCell ref="B32:C32"/>
    <mergeCell ref="B50:C50"/>
    <mergeCell ref="B2:C2"/>
    <mergeCell ref="B3:C3"/>
    <mergeCell ref="B64:C64"/>
    <mergeCell ref="B65:C65"/>
    <mergeCell ref="B29:C29"/>
    <mergeCell ref="B48:C48"/>
  </mergeCells>
  <phoneticPr fontId="21" type="noConversion"/>
  <printOptions horizontalCentered="1"/>
  <pageMargins left="0" right="0" top="1.25" bottom="1" header="0.33" footer="0.5"/>
  <pageSetup fitToHeight="0" orientation="portrait" r:id="rId1"/>
  <headerFooter alignWithMargins="0">
    <oddHeader>&amp;C&amp;"Arial,Bold"&amp;12DEPARTMENT OF CORRECTIONS
 COST OF CARE Year 2021
(Based on Fiscal Year 2020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sheetPr>
  <dimension ref="A1:E14"/>
  <sheetViews>
    <sheetView showGridLines="0" workbookViewId="0">
      <selection activeCell="A5" sqref="A5"/>
    </sheetView>
  </sheetViews>
  <sheetFormatPr defaultColWidth="9.140625" defaultRowHeight="12.75" x14ac:dyDescent="0.2"/>
  <cols>
    <col min="1" max="1" width="31" style="113" customWidth="1"/>
    <col min="2" max="2" width="12" style="113" customWidth="1"/>
    <col min="3" max="3" width="18.140625" style="113" customWidth="1"/>
    <col min="4" max="4" width="19.140625" style="113" bestFit="1" customWidth="1"/>
    <col min="5" max="5" width="22.140625" style="113" bestFit="1" customWidth="1"/>
    <col min="6" max="16384" width="9.140625" style="113"/>
  </cols>
  <sheetData>
    <row r="1" spans="1:5" ht="52.5" customHeight="1" thickBot="1" x14ac:dyDescent="0.25">
      <c r="A1" s="891" t="s">
        <v>117</v>
      </c>
      <c r="B1" s="891"/>
      <c r="C1" s="891"/>
      <c r="D1" s="891"/>
      <c r="E1" s="891"/>
    </row>
    <row r="2" spans="1:5" ht="48" thickBot="1" x14ac:dyDescent="0.25">
      <c r="A2" s="269" t="s">
        <v>107</v>
      </c>
      <c r="B2" s="284" t="s">
        <v>572</v>
      </c>
      <c r="C2" s="270" t="s">
        <v>139</v>
      </c>
      <c r="D2" s="270" t="s">
        <v>106</v>
      </c>
      <c r="E2" s="270" t="s">
        <v>108</v>
      </c>
    </row>
    <row r="3" spans="1:5" ht="48.75" customHeight="1" thickTop="1" thickBot="1" x14ac:dyDescent="0.25">
      <c r="A3" s="271" t="s">
        <v>612</v>
      </c>
      <c r="B3" s="272" t="s">
        <v>613</v>
      </c>
      <c r="C3" s="273">
        <f>'Summary-Sched-E'!D10</f>
        <v>15781782.840000002</v>
      </c>
      <c r="D3" s="274">
        <f>'COST ALLOCATION'!H6</f>
        <v>0.84192242448125498</v>
      </c>
      <c r="E3" s="275">
        <f>C3*D3</f>
        <v>13287036.871289467</v>
      </c>
    </row>
    <row r="4" spans="1:5" s="280" customFormat="1" ht="36" customHeight="1" thickBot="1" x14ac:dyDescent="0.35">
      <c r="A4" s="276" t="s">
        <v>47</v>
      </c>
      <c r="B4" s="277"/>
      <c r="C4" s="278"/>
      <c r="D4" s="279"/>
      <c r="E4" s="745">
        <f>E3</f>
        <v>13287036.871289467</v>
      </c>
    </row>
    <row r="5" spans="1:5" s="280" customFormat="1" ht="36" customHeight="1" thickTop="1" x14ac:dyDescent="0.3">
      <c r="A5" s="627"/>
      <c r="B5" s="627"/>
      <c r="C5" s="628"/>
      <c r="D5" s="629"/>
      <c r="E5" s="631"/>
    </row>
    <row r="6" spans="1:5" s="280" customFormat="1" ht="36" customHeight="1" x14ac:dyDescent="0.3">
      <c r="A6" s="630" t="s">
        <v>614</v>
      </c>
      <c r="B6" s="627"/>
      <c r="C6" s="628"/>
      <c r="D6" s="629"/>
      <c r="E6" s="631"/>
    </row>
    <row r="7" spans="1:5" ht="36" customHeight="1" x14ac:dyDescent="0.2">
      <c r="A7" s="266" t="s">
        <v>807</v>
      </c>
      <c r="C7" s="192"/>
    </row>
    <row r="8" spans="1:5" ht="36" customHeight="1" x14ac:dyDescent="0.2"/>
    <row r="9" spans="1:5" ht="36" customHeight="1" x14ac:dyDescent="0.2"/>
    <row r="10" spans="1:5" ht="36" customHeight="1" x14ac:dyDescent="0.2"/>
    <row r="11" spans="1:5" ht="36" customHeight="1" x14ac:dyDescent="0.2"/>
    <row r="12" spans="1:5" ht="48" customHeight="1" x14ac:dyDescent="0.2"/>
    <row r="13" spans="1:5" ht="29.25" customHeight="1" x14ac:dyDescent="0.2"/>
    <row r="14" spans="1:5" ht="34.5" customHeight="1" x14ac:dyDescent="0.2"/>
  </sheetData>
  <mergeCells count="1">
    <mergeCell ref="A1:E1"/>
  </mergeCells>
  <phoneticPr fontId="21" type="noConversion"/>
  <printOptions horizontalCentered="1"/>
  <pageMargins left="0.25" right="0.25" top="0.97" bottom="1" header="0.33" footer="0.5"/>
  <pageSetup orientation="portrait" r:id="rId1"/>
  <headerFooter alignWithMargins="0">
    <oddHeader>&amp;C&amp;"Arial,Bold"&amp;12DEPARTMENT OF CORRECTIONS
 COST OF CARE Year 2021
(Based on Fiscal Year 2020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2:D24"/>
  <sheetViews>
    <sheetView showGridLines="0" workbookViewId="0">
      <selection activeCell="C10" sqref="C10"/>
    </sheetView>
  </sheetViews>
  <sheetFormatPr defaultColWidth="9.140625" defaultRowHeight="15.75" x14ac:dyDescent="0.25"/>
  <cols>
    <col min="1" max="1" width="17.42578125" style="128" bestFit="1" customWidth="1"/>
    <col min="2" max="2" width="15.140625" style="128" customWidth="1"/>
    <col min="3" max="3" width="21.42578125" style="128" customWidth="1"/>
    <col min="4" max="4" width="31" style="128" customWidth="1"/>
    <col min="5" max="16384" width="9.140625" style="128"/>
  </cols>
  <sheetData>
    <row r="2" spans="1:4" ht="30" customHeight="1" x14ac:dyDescent="0.25">
      <c r="A2" s="283" t="s">
        <v>270</v>
      </c>
      <c r="B2" s="284" t="s">
        <v>572</v>
      </c>
      <c r="C2" s="285" t="s">
        <v>826</v>
      </c>
      <c r="D2" s="285" t="s">
        <v>824</v>
      </c>
    </row>
    <row r="3" spans="1:4" x14ac:dyDescent="0.25">
      <c r="A3" s="809" t="s">
        <v>271</v>
      </c>
      <c r="B3" s="810" t="s">
        <v>573</v>
      </c>
      <c r="C3" s="811"/>
      <c r="D3" s="812">
        <v>1037965.88</v>
      </c>
    </row>
    <row r="4" spans="1:4" x14ac:dyDescent="0.25">
      <c r="A4" s="813" t="s">
        <v>273</v>
      </c>
      <c r="B4" s="814" t="s">
        <v>574</v>
      </c>
      <c r="C4" s="815">
        <v>2091826.65</v>
      </c>
      <c r="D4" s="816">
        <v>6577887.8600000003</v>
      </c>
    </row>
    <row r="5" spans="1:4" x14ac:dyDescent="0.25">
      <c r="A5" s="813" t="s">
        <v>274</v>
      </c>
      <c r="B5" s="814" t="s">
        <v>575</v>
      </c>
      <c r="C5" s="815">
        <v>1063689.79</v>
      </c>
      <c r="D5" s="816">
        <v>3747892.65</v>
      </c>
    </row>
    <row r="6" spans="1:4" x14ac:dyDescent="0.25">
      <c r="A6" s="813" t="s">
        <v>276</v>
      </c>
      <c r="B6" s="814" t="s">
        <v>576</v>
      </c>
      <c r="C6" s="815">
        <v>0</v>
      </c>
      <c r="D6" s="816">
        <v>851216.05</v>
      </c>
    </row>
    <row r="7" spans="1:4" x14ac:dyDescent="0.25">
      <c r="A7" s="813" t="s">
        <v>275</v>
      </c>
      <c r="B7" s="814" t="s">
        <v>577</v>
      </c>
      <c r="C7" s="815">
        <v>0</v>
      </c>
      <c r="D7" s="816">
        <v>289900</v>
      </c>
    </row>
    <row r="8" spans="1:4" x14ac:dyDescent="0.25">
      <c r="A8" s="813" t="s">
        <v>272</v>
      </c>
      <c r="B8" s="814" t="s">
        <v>578</v>
      </c>
      <c r="C8" s="815">
        <v>0</v>
      </c>
      <c r="D8" s="816">
        <v>1542804.06</v>
      </c>
    </row>
    <row r="9" spans="1:4" x14ac:dyDescent="0.25">
      <c r="A9" s="817" t="s">
        <v>64</v>
      </c>
      <c r="B9" s="818" t="s">
        <v>579</v>
      </c>
      <c r="C9" s="819">
        <v>0</v>
      </c>
      <c r="D9" s="820">
        <v>1734116.34</v>
      </c>
    </row>
    <row r="10" spans="1:4" s="168" customFormat="1" ht="19.5" customHeight="1" x14ac:dyDescent="0.25">
      <c r="B10" s="281" t="s">
        <v>26</v>
      </c>
      <c r="C10" s="827">
        <f>SUM(C3:C9)</f>
        <v>3155516.44</v>
      </c>
      <c r="D10" s="744">
        <f>SUM(D3:D9)</f>
        <v>15781782.840000002</v>
      </c>
    </row>
    <row r="15" spans="1:4" x14ac:dyDescent="0.25">
      <c r="A15" s="154"/>
      <c r="D15" s="282"/>
    </row>
    <row r="16" spans="1:4" x14ac:dyDescent="0.25">
      <c r="A16" s="266" t="s">
        <v>829</v>
      </c>
    </row>
    <row r="18" spans="1:1" x14ac:dyDescent="0.25">
      <c r="A18" s="168" t="s">
        <v>759</v>
      </c>
    </row>
    <row r="19" spans="1:1" x14ac:dyDescent="0.25">
      <c r="A19" s="168" t="s">
        <v>742</v>
      </c>
    </row>
    <row r="20" spans="1:1" x14ac:dyDescent="0.25">
      <c r="A20" s="168" t="s">
        <v>742</v>
      </c>
    </row>
    <row r="21" spans="1:1" x14ac:dyDescent="0.25">
      <c r="A21" s="168" t="s">
        <v>743</v>
      </c>
    </row>
    <row r="22" spans="1:1" x14ac:dyDescent="0.25">
      <c r="A22" s="168" t="s">
        <v>825</v>
      </c>
    </row>
    <row r="23" spans="1:1" s="168" customFormat="1" x14ac:dyDescent="0.25">
      <c r="A23" s="168" t="s">
        <v>827</v>
      </c>
    </row>
    <row r="24" spans="1:1" s="168" customFormat="1" x14ac:dyDescent="0.25">
      <c r="A24" s="168" t="s">
        <v>828</v>
      </c>
    </row>
  </sheetData>
  <phoneticPr fontId="0" type="noConversion"/>
  <printOptions horizontalCentered="1"/>
  <pageMargins left="0.25" right="0.25" top="1.5" bottom="1" header="0.33" footer="0.5"/>
  <pageSetup orientation="portrait" r:id="rId1"/>
  <headerFooter alignWithMargins="0">
    <oddHeader>&amp;C&amp;"Arial,Bold"&amp;12DEPARTMENT OF CORRECTIONS
 COST OF CARE Year 2021
(Based on Fiscal Year 2020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E48"/>
  <sheetViews>
    <sheetView showGridLines="0" topLeftCell="A7" zoomScaleNormal="100" workbookViewId="0">
      <selection activeCell="A19" sqref="A19"/>
    </sheetView>
  </sheetViews>
  <sheetFormatPr defaultColWidth="9.140625" defaultRowHeight="12.75" x14ac:dyDescent="0.2"/>
  <cols>
    <col min="1" max="1" width="31.28515625" style="113" customWidth="1"/>
    <col min="2" max="2" width="17.5703125" style="113" customWidth="1"/>
    <col min="3" max="3" width="12.5703125" style="113" bestFit="1" customWidth="1"/>
    <col min="4" max="4" width="14" style="113" customWidth="1"/>
    <col min="5" max="16384" width="9.140625" style="113"/>
  </cols>
  <sheetData>
    <row r="1" spans="1:5" ht="15.75" x14ac:dyDescent="0.25">
      <c r="A1" s="895" t="s">
        <v>109</v>
      </c>
      <c r="B1" s="895"/>
      <c r="C1" s="286"/>
      <c r="D1" s="892" t="s">
        <v>328</v>
      </c>
      <c r="E1" s="892"/>
    </row>
    <row r="2" spans="1:5" ht="19.5" customHeight="1" thickBot="1" x14ac:dyDescent="0.25">
      <c r="A2" s="896" t="s">
        <v>110</v>
      </c>
      <c r="B2" s="896"/>
      <c r="C2" s="287"/>
    </row>
    <row r="3" spans="1:5" ht="39.75" thickTop="1" thickBot="1" x14ac:dyDescent="0.25">
      <c r="A3" s="264" t="s">
        <v>55</v>
      </c>
      <c r="B3" s="294" t="s">
        <v>56</v>
      </c>
      <c r="C3" s="294" t="s">
        <v>57</v>
      </c>
    </row>
    <row r="4" spans="1:5" ht="13.5" thickTop="1" x14ac:dyDescent="0.2">
      <c r="A4" s="193" t="s">
        <v>243</v>
      </c>
      <c r="B4" s="288">
        <f>'Property Inventory'!G13</f>
        <v>2084134.16</v>
      </c>
      <c r="C4" s="288">
        <f>B4*0.06666</f>
        <v>138928.38310559999</v>
      </c>
    </row>
    <row r="5" spans="1:5" x14ac:dyDescent="0.2">
      <c r="A5" s="193" t="s">
        <v>533</v>
      </c>
      <c r="B5" s="288">
        <f>'Property Inventory'!G14</f>
        <v>269480.24</v>
      </c>
      <c r="C5" s="288">
        <f>B5*0.06666</f>
        <v>17963.5527984</v>
      </c>
    </row>
    <row r="6" spans="1:5" x14ac:dyDescent="0.2">
      <c r="A6" s="193" t="s">
        <v>685</v>
      </c>
      <c r="B6" s="288">
        <f>'Property Inventory'!G15</f>
        <v>554362.97</v>
      </c>
      <c r="C6" s="288">
        <f t="shared" ref="C6:C16" si="0">B6*0.06666</f>
        <v>36953.835580199993</v>
      </c>
    </row>
    <row r="7" spans="1:5" x14ac:dyDescent="0.2">
      <c r="A7" s="193" t="s">
        <v>541</v>
      </c>
      <c r="B7" s="288">
        <f>'Property Inventory'!G16</f>
        <v>635268.13</v>
      </c>
      <c r="C7" s="288">
        <f t="shared" si="0"/>
        <v>42346.9735458</v>
      </c>
    </row>
    <row r="8" spans="1:5" x14ac:dyDescent="0.2">
      <c r="A8" s="193" t="s">
        <v>543</v>
      </c>
      <c r="B8" s="288">
        <f>'Property Inventory'!G25</f>
        <v>1771656.54</v>
      </c>
      <c r="C8" s="288">
        <f>B8*0.06666</f>
        <v>118098.6249564</v>
      </c>
    </row>
    <row r="9" spans="1:5" x14ac:dyDescent="0.2">
      <c r="A9" s="193" t="s">
        <v>618</v>
      </c>
      <c r="B9" s="288">
        <f>'Property Inventory'!G17</f>
        <v>116317.46</v>
      </c>
      <c r="C9" s="288">
        <f t="shared" si="0"/>
        <v>7753.7218836000002</v>
      </c>
    </row>
    <row r="10" spans="1:5" x14ac:dyDescent="0.2">
      <c r="A10" s="193" t="s">
        <v>555</v>
      </c>
      <c r="B10" s="288">
        <f>'Property Inventory'!G18</f>
        <v>768315.26</v>
      </c>
      <c r="C10" s="288">
        <f t="shared" si="0"/>
        <v>51215.8952316</v>
      </c>
    </row>
    <row r="11" spans="1:5" x14ac:dyDescent="0.2">
      <c r="A11" s="193" t="s">
        <v>619</v>
      </c>
      <c r="B11" s="288">
        <f>'Property Inventory'!G19</f>
        <v>123507.88</v>
      </c>
      <c r="C11" s="288">
        <f t="shared" si="0"/>
        <v>8233.0352808000007</v>
      </c>
    </row>
    <row r="12" spans="1:5" x14ac:dyDescent="0.2">
      <c r="A12" s="193" t="s">
        <v>558</v>
      </c>
      <c r="B12" s="288">
        <f>'Property Inventory'!G20</f>
        <v>1051854.3799999999</v>
      </c>
      <c r="C12" s="288">
        <f t="shared" si="0"/>
        <v>70116.612970799993</v>
      </c>
    </row>
    <row r="13" spans="1:5" x14ac:dyDescent="0.2">
      <c r="A13" s="193" t="s">
        <v>261</v>
      </c>
      <c r="B13" s="288">
        <f>'Property Inventory'!G24</f>
        <v>672331.84</v>
      </c>
      <c r="C13" s="288">
        <f t="shared" si="0"/>
        <v>44817.640454399996</v>
      </c>
    </row>
    <row r="14" spans="1:5" x14ac:dyDescent="0.2">
      <c r="A14" s="193" t="s">
        <v>546</v>
      </c>
      <c r="B14" s="288">
        <f>'Property Inventory'!G21</f>
        <v>2111954.1399999997</v>
      </c>
      <c r="C14" s="288">
        <f t="shared" si="0"/>
        <v>140782.86297239998</v>
      </c>
    </row>
    <row r="15" spans="1:5" x14ac:dyDescent="0.2">
      <c r="A15" s="193" t="s">
        <v>547</v>
      </c>
      <c r="B15" s="288">
        <f>'Property Inventory'!G22</f>
        <v>1148590</v>
      </c>
      <c r="C15" s="288">
        <f t="shared" si="0"/>
        <v>76565.009399999995</v>
      </c>
    </row>
    <row r="16" spans="1:5" x14ac:dyDescent="0.2">
      <c r="A16" s="193" t="s">
        <v>700</v>
      </c>
      <c r="B16" s="289">
        <f>'Property Inventory'!G23</f>
        <v>190519.92</v>
      </c>
      <c r="C16" s="288">
        <f t="shared" si="0"/>
        <v>12700.057867200001</v>
      </c>
    </row>
    <row r="17" spans="1:5" ht="13.5" thickBot="1" x14ac:dyDescent="0.25">
      <c r="A17" s="193"/>
      <c r="B17" s="288"/>
      <c r="C17" s="288" t="s">
        <v>0</v>
      </c>
    </row>
    <row r="18" spans="1:5" ht="20.25" customHeight="1" thickTop="1" thickBot="1" x14ac:dyDescent="0.25">
      <c r="A18" s="290" t="s">
        <v>113</v>
      </c>
      <c r="B18" s="746">
        <f>SUM(B4:B17)</f>
        <v>11498292.92</v>
      </c>
      <c r="C18" s="747">
        <f>SUM(C4:C17)</f>
        <v>766476.2060471999</v>
      </c>
    </row>
    <row r="19" spans="1:5" ht="13.5" thickTop="1" x14ac:dyDescent="0.2">
      <c r="B19" s="197"/>
      <c r="C19" s="197"/>
    </row>
    <row r="20" spans="1:5" ht="4.1500000000000004" customHeight="1" x14ac:dyDescent="0.2">
      <c r="B20" s="197"/>
      <c r="C20" s="197"/>
      <c r="D20" s="197"/>
    </row>
    <row r="21" spans="1:5" x14ac:dyDescent="0.2">
      <c r="B21" s="197"/>
      <c r="C21" s="197"/>
      <c r="D21" s="291"/>
    </row>
    <row r="22" spans="1:5" ht="15.75" x14ac:dyDescent="0.25">
      <c r="A22" s="892" t="s">
        <v>111</v>
      </c>
      <c r="B22" s="892"/>
      <c r="C22" s="892"/>
      <c r="D22" s="893" t="s">
        <v>329</v>
      </c>
      <c r="E22" s="893"/>
    </row>
    <row r="23" spans="1:5" ht="16.5" thickBot="1" x14ac:dyDescent="0.3">
      <c r="A23" s="894" t="s">
        <v>830</v>
      </c>
      <c r="B23" s="894"/>
      <c r="C23" s="894"/>
      <c r="D23" s="292"/>
    </row>
    <row r="24" spans="1:5" s="296" customFormat="1" ht="39.75" thickTop="1" thickBot="1" x14ac:dyDescent="0.25">
      <c r="A24" s="264" t="s">
        <v>55</v>
      </c>
      <c r="B24" s="295" t="s">
        <v>203</v>
      </c>
      <c r="C24" s="295" t="s">
        <v>58</v>
      </c>
      <c r="D24" s="295" t="s">
        <v>59</v>
      </c>
    </row>
    <row r="25" spans="1:5" ht="13.5" thickTop="1" x14ac:dyDescent="0.2">
      <c r="A25" s="193" t="s">
        <v>330</v>
      </c>
      <c r="B25" s="288">
        <v>36522437</v>
      </c>
      <c r="C25" s="288">
        <v>0</v>
      </c>
      <c r="D25" s="288">
        <f>B25*0.02</f>
        <v>730448.74</v>
      </c>
    </row>
    <row r="26" spans="1:5" x14ac:dyDescent="0.2">
      <c r="A26" s="193" t="s">
        <v>28</v>
      </c>
      <c r="B26" s="288">
        <v>16192923</v>
      </c>
      <c r="C26" s="288">
        <v>0</v>
      </c>
      <c r="D26" s="288">
        <f>B26*0.02</f>
        <v>323858.46000000002</v>
      </c>
    </row>
    <row r="27" spans="1:5" x14ac:dyDescent="0.2">
      <c r="A27" s="193" t="s">
        <v>13</v>
      </c>
      <c r="B27" s="288">
        <v>45066600</v>
      </c>
      <c r="C27" s="288">
        <v>0</v>
      </c>
      <c r="D27" s="288">
        <f t="shared" ref="D27:D37" si="1">B27*0.02</f>
        <v>901332</v>
      </c>
      <c r="E27" s="250"/>
    </row>
    <row r="28" spans="1:5" x14ac:dyDescent="0.2">
      <c r="A28" s="193" t="s">
        <v>24</v>
      </c>
      <c r="B28" s="288">
        <v>34112840</v>
      </c>
      <c r="C28" s="288">
        <v>0</v>
      </c>
      <c r="D28" s="288">
        <f t="shared" si="1"/>
        <v>682256.8</v>
      </c>
    </row>
    <row r="29" spans="1:5" x14ac:dyDescent="0.2">
      <c r="A29" s="193" t="s">
        <v>374</v>
      </c>
      <c r="B29" s="288">
        <v>78705708</v>
      </c>
      <c r="C29" s="288">
        <v>0</v>
      </c>
      <c r="D29" s="288">
        <f t="shared" si="1"/>
        <v>1574114.1600000001</v>
      </c>
    </row>
    <row r="30" spans="1:5" x14ac:dyDescent="0.2">
      <c r="A30" s="193" t="s">
        <v>15</v>
      </c>
      <c r="B30" s="288">
        <v>7691306</v>
      </c>
      <c r="C30" s="288">
        <v>0</v>
      </c>
      <c r="D30" s="288">
        <f t="shared" si="1"/>
        <v>153826.12</v>
      </c>
    </row>
    <row r="31" spans="1:5" x14ac:dyDescent="0.2">
      <c r="A31" s="193" t="s">
        <v>16</v>
      </c>
      <c r="B31" s="288">
        <v>28845762</v>
      </c>
      <c r="C31" s="288">
        <v>0</v>
      </c>
      <c r="D31" s="288">
        <f t="shared" si="1"/>
        <v>576915.24</v>
      </c>
    </row>
    <row r="32" spans="1:5" x14ac:dyDescent="0.2">
      <c r="A32" s="193" t="s">
        <v>17</v>
      </c>
      <c r="B32" s="288">
        <v>10392719</v>
      </c>
      <c r="C32" s="288">
        <v>0</v>
      </c>
      <c r="D32" s="288">
        <f t="shared" si="1"/>
        <v>207854.38</v>
      </c>
    </row>
    <row r="33" spans="1:4" x14ac:dyDescent="0.2">
      <c r="A33" s="193" t="s">
        <v>18</v>
      </c>
      <c r="B33" s="288">
        <f>41211974*1</f>
        <v>41211974</v>
      </c>
      <c r="C33" s="288">
        <v>0</v>
      </c>
      <c r="D33" s="288">
        <f t="shared" si="1"/>
        <v>824239.48</v>
      </c>
    </row>
    <row r="34" spans="1:4" x14ac:dyDescent="0.2">
      <c r="A34" s="193" t="s">
        <v>261</v>
      </c>
      <c r="B34" s="288">
        <v>12269054</v>
      </c>
      <c r="C34" s="288">
        <v>0</v>
      </c>
      <c r="D34" s="288">
        <f t="shared" si="1"/>
        <v>245381.08000000002</v>
      </c>
    </row>
    <row r="35" spans="1:4" x14ac:dyDescent="0.2">
      <c r="A35" s="193" t="s">
        <v>19</v>
      </c>
      <c r="B35" s="288">
        <v>78360986</v>
      </c>
      <c r="C35" s="288">
        <v>0</v>
      </c>
      <c r="D35" s="288">
        <f t="shared" si="1"/>
        <v>1567219.72</v>
      </c>
    </row>
    <row r="36" spans="1:4" x14ac:dyDescent="0.2">
      <c r="A36" s="193" t="s">
        <v>25</v>
      </c>
      <c r="B36" s="288">
        <v>51709708</v>
      </c>
      <c r="C36" s="288">
        <v>0</v>
      </c>
      <c r="D36" s="288">
        <f t="shared" si="1"/>
        <v>1034194.16</v>
      </c>
    </row>
    <row r="37" spans="1:4" x14ac:dyDescent="0.2">
      <c r="A37" s="193" t="s">
        <v>29</v>
      </c>
      <c r="B37" s="288">
        <v>12275277</v>
      </c>
      <c r="C37" s="288">
        <v>0</v>
      </c>
      <c r="D37" s="288">
        <f t="shared" si="1"/>
        <v>245505.54</v>
      </c>
    </row>
    <row r="38" spans="1:4" ht="13.5" thickBot="1" x14ac:dyDescent="0.25">
      <c r="A38" s="193"/>
      <c r="B38" s="288"/>
      <c r="C38" s="288"/>
      <c r="D38" s="288"/>
    </row>
    <row r="39" spans="1:4" ht="14.25" thickTop="1" thickBot="1" x14ac:dyDescent="0.25">
      <c r="A39" s="290" t="s">
        <v>112</v>
      </c>
      <c r="B39" s="746">
        <f>SUM(B25:B38)</f>
        <v>453357294</v>
      </c>
      <c r="C39" s="293">
        <f>SUM(C25:C38)</f>
        <v>0</v>
      </c>
      <c r="D39" s="747">
        <f>SUM(D25:D38)</f>
        <v>9067145.879999999</v>
      </c>
    </row>
    <row r="40" spans="1:4" ht="30" customHeight="1" thickTop="1" thickBot="1" x14ac:dyDescent="0.25">
      <c r="A40" s="160"/>
      <c r="B40" s="197"/>
      <c r="C40" s="197"/>
      <c r="D40" s="197"/>
    </row>
    <row r="41" spans="1:4" s="300" customFormat="1" ht="26.25" thickBot="1" x14ac:dyDescent="0.25">
      <c r="A41" s="470" t="s">
        <v>437</v>
      </c>
      <c r="B41" s="297" t="s">
        <v>114</v>
      </c>
      <c r="C41" s="298"/>
      <c r="D41" s="299">
        <f>C18+D39</f>
        <v>9833622.0860471986</v>
      </c>
    </row>
    <row r="42" spans="1:4" ht="13.5" thickTop="1" x14ac:dyDescent="0.2">
      <c r="B42" s="197"/>
      <c r="C42" s="197"/>
      <c r="D42" s="291"/>
    </row>
    <row r="43" spans="1:4" x14ac:dyDescent="0.2">
      <c r="A43" s="266" t="s">
        <v>892</v>
      </c>
    </row>
    <row r="46" spans="1:4" x14ac:dyDescent="0.2">
      <c r="A46" s="705" t="s">
        <v>757</v>
      </c>
    </row>
    <row r="47" spans="1:4" x14ac:dyDescent="0.2">
      <c r="A47" s="113" t="s">
        <v>773</v>
      </c>
    </row>
    <row r="48" spans="1:4" x14ac:dyDescent="0.2">
      <c r="A48" s="113" t="s">
        <v>839</v>
      </c>
    </row>
  </sheetData>
  <mergeCells count="6">
    <mergeCell ref="D1:E1"/>
    <mergeCell ref="D22:E22"/>
    <mergeCell ref="A23:C23"/>
    <mergeCell ref="A22:C22"/>
    <mergeCell ref="A1:B1"/>
    <mergeCell ref="A2:B2"/>
  </mergeCells>
  <phoneticPr fontId="21" type="noConversion"/>
  <printOptions horizontalCentered="1" verticalCentered="1"/>
  <pageMargins left="0.75" right="0.75" top="1.25" bottom="1" header="0.33" footer="0.5"/>
  <pageSetup scale="98" orientation="portrait" r:id="rId1"/>
  <headerFooter alignWithMargins="0">
    <oddHeader>&amp;C&amp;"Arial,Bold"&amp;12DEPARTMENT OF CORRECTIONS
 COST OF CARE Year 2021
(Based on Fiscal Year 2020 Actuals)</oddHeader>
    <oddFooter>&amp;L&amp;8&amp;F &amp;A&amp;R&amp;8&amp;D &amp;T</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pageSetUpPr fitToPage="1"/>
  </sheetPr>
  <dimension ref="A1:BD73"/>
  <sheetViews>
    <sheetView showGridLines="0" workbookViewId="0">
      <pane ySplit="2" topLeftCell="A24" activePane="bottomLeft" state="frozen"/>
      <selection activeCell="B35" sqref="B35"/>
      <selection pane="bottomLeft" sqref="A1:G1"/>
    </sheetView>
  </sheetViews>
  <sheetFormatPr defaultColWidth="9.140625" defaultRowHeight="15.75" x14ac:dyDescent="0.25"/>
  <cols>
    <col min="1" max="1" width="9.85546875" style="128" customWidth="1"/>
    <col min="2" max="2" width="31.42578125" style="128" customWidth="1"/>
    <col min="3" max="3" width="11" style="161" customWidth="1"/>
    <col min="4" max="4" width="17.7109375" style="128" customWidth="1"/>
    <col min="5" max="5" width="12.85546875" style="128" customWidth="1"/>
    <col min="6" max="6" width="15.42578125" style="128" customWidth="1"/>
    <col min="7" max="7" width="17.28515625" style="128" customWidth="1"/>
    <col min="8" max="8" width="14.85546875" style="128" bestFit="1" customWidth="1"/>
    <col min="9" max="16384" width="9.140625" style="128"/>
  </cols>
  <sheetData>
    <row r="1" spans="1:13" s="168" customFormat="1" ht="41.25" customHeight="1" thickBot="1" x14ac:dyDescent="0.3">
      <c r="A1" s="853" t="s">
        <v>118</v>
      </c>
      <c r="B1" s="853"/>
      <c r="C1" s="853"/>
      <c r="D1" s="853"/>
      <c r="E1" s="853"/>
      <c r="F1" s="853"/>
      <c r="G1" s="853"/>
    </row>
    <row r="2" spans="1:13" s="177" customFormat="1" ht="30.75" customHeight="1" thickTop="1" thickBot="1" x14ac:dyDescent="0.25">
      <c r="A2" s="261" t="s">
        <v>653</v>
      </c>
      <c r="B2" s="260" t="s">
        <v>66</v>
      </c>
      <c r="C2" s="261" t="s">
        <v>458</v>
      </c>
      <c r="D2" s="261" t="s">
        <v>838</v>
      </c>
      <c r="E2" s="261" t="s">
        <v>832</v>
      </c>
      <c r="F2" s="261" t="s">
        <v>831</v>
      </c>
      <c r="G2" s="260" t="s">
        <v>6</v>
      </c>
    </row>
    <row r="3" spans="1:13" ht="16.5" thickTop="1" x14ac:dyDescent="0.25">
      <c r="A3" s="190">
        <v>3</v>
      </c>
      <c r="B3" s="116" t="s">
        <v>325</v>
      </c>
      <c r="C3" s="190">
        <v>1000</v>
      </c>
      <c r="D3" s="124">
        <v>67038.48</v>
      </c>
      <c r="E3" s="124"/>
      <c r="F3" s="304">
        <v>9605</v>
      </c>
      <c r="G3" s="305">
        <f t="shared" ref="G3:G34" si="0">SUM(D3:F3)</f>
        <v>76643.48</v>
      </c>
      <c r="H3" s="174"/>
      <c r="I3" s="174"/>
      <c r="J3" s="174"/>
      <c r="K3" s="174"/>
      <c r="L3" s="174"/>
      <c r="M3" s="174"/>
    </row>
    <row r="4" spans="1:13" x14ac:dyDescent="0.25">
      <c r="A4" s="190"/>
      <c r="B4" s="116" t="s">
        <v>770</v>
      </c>
      <c r="C4" s="190">
        <v>1001</v>
      </c>
      <c r="D4" s="124">
        <v>0</v>
      </c>
      <c r="E4" s="124"/>
      <c r="F4" s="304"/>
      <c r="G4" s="305">
        <f t="shared" si="0"/>
        <v>0</v>
      </c>
      <c r="H4" s="174"/>
      <c r="I4" s="174"/>
      <c r="J4" s="174"/>
      <c r="K4" s="174"/>
      <c r="L4" s="174"/>
      <c r="M4" s="174"/>
    </row>
    <row r="5" spans="1:13" x14ac:dyDescent="0.25">
      <c r="A5" s="190"/>
      <c r="B5" s="116" t="s">
        <v>400</v>
      </c>
      <c r="C5" s="190">
        <v>1100</v>
      </c>
      <c r="D5" s="124">
        <v>1271582.57</v>
      </c>
      <c r="E5" s="124"/>
      <c r="F5" s="304"/>
      <c r="G5" s="305">
        <f t="shared" si="0"/>
        <v>1271582.57</v>
      </c>
      <c r="H5" s="174"/>
      <c r="I5" s="174"/>
      <c r="J5" s="174"/>
      <c r="K5" s="174"/>
      <c r="L5" s="174"/>
      <c r="M5" s="174"/>
    </row>
    <row r="6" spans="1:13" x14ac:dyDescent="0.25">
      <c r="A6" s="190">
        <v>1</v>
      </c>
      <c r="B6" s="116" t="s">
        <v>697</v>
      </c>
      <c r="C6" s="190">
        <v>1100</v>
      </c>
      <c r="D6" s="124">
        <v>0</v>
      </c>
      <c r="E6" s="124"/>
      <c r="F6" s="304">
        <v>8738</v>
      </c>
      <c r="G6" s="305">
        <f t="shared" si="0"/>
        <v>8738</v>
      </c>
      <c r="H6" s="174"/>
      <c r="I6" s="174"/>
      <c r="J6" s="174"/>
      <c r="K6" s="174"/>
      <c r="L6" s="174"/>
      <c r="M6" s="174"/>
    </row>
    <row r="7" spans="1:13" x14ac:dyDescent="0.25">
      <c r="A7" s="190"/>
      <c r="B7" s="116" t="s">
        <v>450</v>
      </c>
      <c r="C7" s="190">
        <v>1200</v>
      </c>
      <c r="D7" s="124">
        <v>497947.18</v>
      </c>
      <c r="E7" s="124"/>
      <c r="F7" s="304">
        <v>806</v>
      </c>
      <c r="G7" s="305">
        <f t="shared" si="0"/>
        <v>498753.18</v>
      </c>
      <c r="H7" s="174"/>
      <c r="I7" s="174"/>
      <c r="J7" s="174"/>
      <c r="K7" s="174"/>
      <c r="L7" s="174"/>
      <c r="M7" s="174"/>
    </row>
    <row r="8" spans="1:13" x14ac:dyDescent="0.25">
      <c r="A8" s="190"/>
      <c r="B8" s="116" t="s">
        <v>260</v>
      </c>
      <c r="C8" s="190">
        <v>1300</v>
      </c>
      <c r="D8" s="124">
        <v>198836.63</v>
      </c>
      <c r="E8" s="124"/>
      <c r="F8" s="304"/>
      <c r="G8" s="305">
        <f t="shared" si="0"/>
        <v>198836.63</v>
      </c>
      <c r="H8" s="174"/>
      <c r="I8" s="174"/>
      <c r="J8" s="174"/>
      <c r="K8" s="174"/>
      <c r="L8" s="174"/>
      <c r="M8" s="174"/>
    </row>
    <row r="9" spans="1:13" x14ac:dyDescent="0.25">
      <c r="A9" s="190"/>
      <c r="B9" s="116" t="s">
        <v>654</v>
      </c>
      <c r="C9" s="190">
        <v>1400</v>
      </c>
      <c r="D9" s="124">
        <v>3044.6</v>
      </c>
      <c r="E9" s="124"/>
      <c r="F9" s="304"/>
      <c r="G9" s="305">
        <f t="shared" si="0"/>
        <v>3044.6</v>
      </c>
      <c r="H9" s="174"/>
      <c r="I9" s="174"/>
      <c r="J9" s="174"/>
      <c r="K9" s="174"/>
      <c r="L9" s="174"/>
      <c r="M9" s="174"/>
    </row>
    <row r="10" spans="1:13" x14ac:dyDescent="0.25">
      <c r="A10" s="190"/>
      <c r="B10" s="116" t="s">
        <v>459</v>
      </c>
      <c r="C10" s="190">
        <v>1500</v>
      </c>
      <c r="D10" s="124">
        <v>5775.64</v>
      </c>
      <c r="E10" s="124"/>
      <c r="F10" s="304"/>
      <c r="G10" s="305">
        <f t="shared" si="0"/>
        <v>5775.64</v>
      </c>
      <c r="H10" s="174"/>
      <c r="I10" s="174"/>
      <c r="J10" s="174"/>
      <c r="K10" s="174"/>
      <c r="L10" s="174"/>
      <c r="M10" s="174"/>
    </row>
    <row r="11" spans="1:13" x14ac:dyDescent="0.25">
      <c r="A11" s="190"/>
      <c r="B11" s="116" t="s">
        <v>835</v>
      </c>
      <c r="C11" s="190">
        <v>1700</v>
      </c>
      <c r="D11" s="124">
        <v>1035.1199999999999</v>
      </c>
      <c r="E11" s="124"/>
      <c r="F11" s="304">
        <v>0</v>
      </c>
      <c r="G11" s="305">
        <f t="shared" si="0"/>
        <v>1035.1199999999999</v>
      </c>
      <c r="H11" s="174"/>
      <c r="I11" s="174"/>
      <c r="J11" s="174"/>
      <c r="K11" s="174"/>
      <c r="L11" s="174"/>
      <c r="M11" s="174"/>
    </row>
    <row r="12" spans="1:13" x14ac:dyDescent="0.25">
      <c r="A12" s="190"/>
      <c r="B12" s="116" t="s">
        <v>681</v>
      </c>
      <c r="C12" s="190">
        <v>2000</v>
      </c>
      <c r="D12" s="124">
        <v>21124.77</v>
      </c>
      <c r="E12" s="124"/>
      <c r="F12" s="304">
        <v>9211</v>
      </c>
      <c r="G12" s="305">
        <f t="shared" si="0"/>
        <v>30335.77</v>
      </c>
      <c r="H12" s="174"/>
      <c r="I12" s="174"/>
      <c r="J12" s="174"/>
      <c r="K12" s="174"/>
      <c r="L12" s="174"/>
      <c r="M12" s="174"/>
    </row>
    <row r="13" spans="1:13" x14ac:dyDescent="0.25">
      <c r="A13" s="306" t="s">
        <v>326</v>
      </c>
      <c r="B13" s="116" t="s">
        <v>330</v>
      </c>
      <c r="C13" s="190">
        <v>2100</v>
      </c>
      <c r="D13" s="124">
        <v>2024960.16</v>
      </c>
      <c r="E13" s="124"/>
      <c r="F13" s="304">
        <v>59174</v>
      </c>
      <c r="G13" s="305">
        <f t="shared" si="0"/>
        <v>2084134.16</v>
      </c>
      <c r="H13" s="174"/>
      <c r="I13" s="174"/>
      <c r="J13" s="174"/>
      <c r="K13" s="174"/>
      <c r="L13" s="174"/>
      <c r="M13" s="174"/>
    </row>
    <row r="14" spans="1:13" x14ac:dyDescent="0.25">
      <c r="A14" s="190">
        <v>15</v>
      </c>
      <c r="B14" s="116" t="s">
        <v>533</v>
      </c>
      <c r="C14" s="190">
        <v>2101</v>
      </c>
      <c r="D14" s="124">
        <v>226049.24</v>
      </c>
      <c r="E14" s="124"/>
      <c r="F14" s="304">
        <v>43431</v>
      </c>
      <c r="G14" s="305">
        <f t="shared" si="0"/>
        <v>269480.24</v>
      </c>
      <c r="H14" s="174"/>
      <c r="I14" s="174"/>
      <c r="J14" s="174"/>
      <c r="K14" s="174"/>
      <c r="L14" s="174"/>
      <c r="M14" s="174"/>
    </row>
    <row r="15" spans="1:13" x14ac:dyDescent="0.25">
      <c r="A15" s="190">
        <v>11</v>
      </c>
      <c r="B15" s="116" t="s">
        <v>685</v>
      </c>
      <c r="C15" s="190">
        <v>2102</v>
      </c>
      <c r="D15" s="124">
        <v>465307.97</v>
      </c>
      <c r="E15" s="124"/>
      <c r="F15" s="304">
        <v>89055</v>
      </c>
      <c r="G15" s="305">
        <f t="shared" si="0"/>
        <v>554362.97</v>
      </c>
      <c r="H15" s="174"/>
      <c r="I15" s="174"/>
      <c r="J15" s="174"/>
      <c r="K15" s="174"/>
      <c r="L15" s="174"/>
      <c r="M15" s="174"/>
    </row>
    <row r="16" spans="1:13" x14ac:dyDescent="0.25">
      <c r="A16" s="190">
        <v>14</v>
      </c>
      <c r="B16" s="116" t="s">
        <v>687</v>
      </c>
      <c r="C16" s="190">
        <v>2103</v>
      </c>
      <c r="D16" s="124">
        <v>596524.13</v>
      </c>
      <c r="E16" s="124"/>
      <c r="F16" s="304">
        <v>38744</v>
      </c>
      <c r="G16" s="305">
        <f t="shared" si="0"/>
        <v>635268.13</v>
      </c>
      <c r="H16" s="174"/>
      <c r="I16" s="174"/>
      <c r="J16" s="174"/>
      <c r="K16" s="174"/>
      <c r="L16" s="174"/>
      <c r="M16" s="174"/>
    </row>
    <row r="17" spans="1:13" x14ac:dyDescent="0.25">
      <c r="A17" s="190">
        <v>5</v>
      </c>
      <c r="B17" s="116" t="s">
        <v>688</v>
      </c>
      <c r="C17" s="190">
        <v>2104</v>
      </c>
      <c r="D17" s="124">
        <v>98835.46</v>
      </c>
      <c r="E17" s="124"/>
      <c r="F17" s="304">
        <v>17482</v>
      </c>
      <c r="G17" s="305">
        <f t="shared" si="0"/>
        <v>116317.46</v>
      </c>
      <c r="H17" s="174"/>
      <c r="I17" s="174"/>
      <c r="J17" s="174"/>
      <c r="K17" s="174"/>
      <c r="L17" s="174"/>
      <c r="M17" s="174"/>
    </row>
    <row r="18" spans="1:13" x14ac:dyDescent="0.25">
      <c r="A18" s="190">
        <v>6</v>
      </c>
      <c r="B18" s="116" t="s">
        <v>689</v>
      </c>
      <c r="C18" s="190">
        <v>2105</v>
      </c>
      <c r="D18" s="124">
        <v>727279.26</v>
      </c>
      <c r="E18" s="124"/>
      <c r="F18" s="304">
        <v>41036</v>
      </c>
      <c r="G18" s="305">
        <f t="shared" si="0"/>
        <v>768315.26</v>
      </c>
      <c r="H18" s="174"/>
      <c r="I18" s="174"/>
      <c r="J18" s="174"/>
      <c r="K18" s="174"/>
      <c r="L18" s="174"/>
      <c r="M18" s="174"/>
    </row>
    <row r="19" spans="1:13" x14ac:dyDescent="0.25">
      <c r="A19" s="190">
        <v>10</v>
      </c>
      <c r="B19" s="116" t="s">
        <v>686</v>
      </c>
      <c r="C19" s="190">
        <v>2106</v>
      </c>
      <c r="D19" s="124">
        <v>102609.88</v>
      </c>
      <c r="E19" s="124"/>
      <c r="F19" s="304">
        <v>20898</v>
      </c>
      <c r="G19" s="305">
        <f t="shared" si="0"/>
        <v>123507.88</v>
      </c>
      <c r="H19" s="174"/>
      <c r="I19" s="174"/>
      <c r="J19" s="174"/>
      <c r="K19" s="174"/>
      <c r="L19" s="174"/>
      <c r="M19" s="174"/>
    </row>
    <row r="20" spans="1:13" x14ac:dyDescent="0.25">
      <c r="A20" s="190">
        <v>13</v>
      </c>
      <c r="B20" s="116" t="s">
        <v>620</v>
      </c>
      <c r="C20" s="190">
        <v>2107</v>
      </c>
      <c r="D20" s="124">
        <v>956248.38</v>
      </c>
      <c r="E20" s="124"/>
      <c r="F20" s="304">
        <v>95606</v>
      </c>
      <c r="G20" s="305">
        <f t="shared" si="0"/>
        <v>1051854.3799999999</v>
      </c>
      <c r="H20" s="174"/>
      <c r="I20" s="174"/>
      <c r="J20" s="174"/>
      <c r="K20" s="174"/>
      <c r="L20" s="174"/>
      <c r="M20" s="174"/>
    </row>
    <row r="21" spans="1:13" x14ac:dyDescent="0.25">
      <c r="A21" s="190">
        <v>16</v>
      </c>
      <c r="B21" s="116" t="s">
        <v>683</v>
      </c>
      <c r="C21" s="190">
        <v>2108</v>
      </c>
      <c r="D21" s="124">
        <v>1886484.14</v>
      </c>
      <c r="E21" s="124"/>
      <c r="F21" s="304">
        <v>225470</v>
      </c>
      <c r="G21" s="305">
        <f t="shared" si="0"/>
        <v>2111954.1399999997</v>
      </c>
      <c r="H21" s="174"/>
      <c r="I21" s="174"/>
      <c r="J21" s="174"/>
      <c r="K21" s="174"/>
      <c r="L21" s="174"/>
      <c r="M21" s="174"/>
    </row>
    <row r="22" spans="1:13" x14ac:dyDescent="0.25">
      <c r="A22" s="190">
        <v>30</v>
      </c>
      <c r="B22" s="116" t="s">
        <v>682</v>
      </c>
      <c r="C22" s="190">
        <v>2109</v>
      </c>
      <c r="D22" s="124">
        <v>983561</v>
      </c>
      <c r="E22" s="124"/>
      <c r="F22" s="304">
        <v>165029</v>
      </c>
      <c r="G22" s="305">
        <f t="shared" si="0"/>
        <v>1148590</v>
      </c>
      <c r="H22" s="174"/>
      <c r="I22" s="174"/>
      <c r="J22" s="174"/>
      <c r="K22" s="174"/>
      <c r="L22" s="174"/>
      <c r="M22" s="174"/>
    </row>
    <row r="23" spans="1:13" x14ac:dyDescent="0.25">
      <c r="A23" s="190">
        <v>18</v>
      </c>
      <c r="B23" s="116" t="s">
        <v>621</v>
      </c>
      <c r="C23" s="190">
        <v>2110</v>
      </c>
      <c r="D23" s="124">
        <v>159033.92000000001</v>
      </c>
      <c r="E23" s="124"/>
      <c r="F23" s="304">
        <v>31486</v>
      </c>
      <c r="G23" s="305">
        <f t="shared" si="0"/>
        <v>190519.92</v>
      </c>
      <c r="H23" s="174"/>
      <c r="I23" s="174"/>
      <c r="J23" s="174"/>
      <c r="K23" s="174"/>
      <c r="L23" s="174"/>
      <c r="M23" s="174"/>
    </row>
    <row r="24" spans="1:13" x14ac:dyDescent="0.25">
      <c r="A24" s="190">
        <v>31</v>
      </c>
      <c r="B24" s="116" t="s">
        <v>690</v>
      </c>
      <c r="C24" s="190">
        <v>2111</v>
      </c>
      <c r="D24" s="124">
        <v>541369.84</v>
      </c>
      <c r="E24" s="124"/>
      <c r="F24" s="304">
        <v>130962</v>
      </c>
      <c r="G24" s="305">
        <f t="shared" si="0"/>
        <v>672331.84</v>
      </c>
      <c r="H24" s="174"/>
      <c r="I24" s="174"/>
      <c r="J24" s="174"/>
      <c r="K24" s="174"/>
      <c r="L24" s="174"/>
      <c r="M24" s="174"/>
    </row>
    <row r="25" spans="1:13" x14ac:dyDescent="0.25">
      <c r="A25" s="190">
        <v>39</v>
      </c>
      <c r="B25" s="116" t="s">
        <v>684</v>
      </c>
      <c r="C25" s="190">
        <v>2112</v>
      </c>
      <c r="D25" s="124">
        <v>1432728.54</v>
      </c>
      <c r="E25" s="124"/>
      <c r="F25" s="304">
        <v>338928</v>
      </c>
      <c r="G25" s="305">
        <f t="shared" si="0"/>
        <v>1771656.54</v>
      </c>
      <c r="H25" s="174"/>
      <c r="I25" s="174"/>
      <c r="J25" s="174"/>
      <c r="K25" s="174"/>
      <c r="L25" s="174"/>
      <c r="M25" s="174"/>
    </row>
    <row r="26" spans="1:13" x14ac:dyDescent="0.25">
      <c r="A26" s="477"/>
      <c r="B26" s="116" t="s">
        <v>262</v>
      </c>
      <c r="C26" s="190">
        <v>2200</v>
      </c>
      <c r="D26" s="124">
        <v>1418.14</v>
      </c>
      <c r="E26" s="124"/>
      <c r="F26" s="304">
        <v>7745</v>
      </c>
      <c r="G26" s="305">
        <f t="shared" si="0"/>
        <v>9163.14</v>
      </c>
      <c r="H26" s="174"/>
      <c r="I26" s="174"/>
      <c r="J26" s="174"/>
      <c r="K26" s="174"/>
      <c r="L26" s="174"/>
      <c r="M26" s="174"/>
    </row>
    <row r="27" spans="1:13" x14ac:dyDescent="0.25">
      <c r="A27" s="190">
        <v>7</v>
      </c>
      <c r="B27" s="116" t="s">
        <v>691</v>
      </c>
      <c r="C27" s="190">
        <v>2210</v>
      </c>
      <c r="D27" s="124">
        <v>33357.54</v>
      </c>
      <c r="E27" s="124"/>
      <c r="F27" s="304">
        <v>80759</v>
      </c>
      <c r="G27" s="305">
        <f t="shared" si="0"/>
        <v>114116.54000000001</v>
      </c>
      <c r="H27" s="174"/>
      <c r="I27" s="174"/>
      <c r="J27" s="174"/>
      <c r="K27" s="174"/>
      <c r="L27" s="174"/>
      <c r="M27" s="174"/>
    </row>
    <row r="28" spans="1:13" x14ac:dyDescent="0.25">
      <c r="A28" s="190">
        <v>37</v>
      </c>
      <c r="B28" s="116" t="s">
        <v>62</v>
      </c>
      <c r="C28" s="190">
        <v>2220</v>
      </c>
      <c r="D28" s="124">
        <v>31189</v>
      </c>
      <c r="E28" s="124"/>
      <c r="F28" s="304"/>
      <c r="G28" s="305">
        <f t="shared" si="0"/>
        <v>31189</v>
      </c>
      <c r="H28" s="174"/>
      <c r="I28" s="174"/>
      <c r="J28" s="174"/>
      <c r="K28" s="174"/>
      <c r="L28" s="174"/>
      <c r="M28" s="174"/>
    </row>
    <row r="29" spans="1:13" x14ac:dyDescent="0.25">
      <c r="A29" s="190"/>
      <c r="B29" s="116" t="s">
        <v>269</v>
      </c>
      <c r="C29" s="190">
        <v>2230</v>
      </c>
      <c r="D29" s="124">
        <v>5450</v>
      </c>
      <c r="E29" s="124"/>
      <c r="F29" s="304"/>
      <c r="G29" s="305">
        <f t="shared" si="0"/>
        <v>5450</v>
      </c>
      <c r="H29" s="174"/>
      <c r="I29" s="174"/>
      <c r="J29" s="174"/>
      <c r="K29" s="174"/>
      <c r="L29" s="174"/>
      <c r="M29" s="174"/>
    </row>
    <row r="30" spans="1:13" x14ac:dyDescent="0.25">
      <c r="A30" s="190"/>
      <c r="B30" s="116" t="s">
        <v>324</v>
      </c>
      <c r="C30" s="190">
        <v>2250</v>
      </c>
      <c r="D30" s="124">
        <v>66251.490000000005</v>
      </c>
      <c r="E30" s="124"/>
      <c r="F30" s="304">
        <v>4615</v>
      </c>
      <c r="G30" s="305">
        <f t="shared" si="0"/>
        <v>70866.490000000005</v>
      </c>
      <c r="H30" s="174"/>
      <c r="I30" s="174"/>
      <c r="J30" s="174"/>
      <c r="K30" s="174"/>
      <c r="L30" s="174"/>
      <c r="M30" s="174"/>
    </row>
    <row r="31" spans="1:13" x14ac:dyDescent="0.25">
      <c r="A31" s="190">
        <v>4</v>
      </c>
      <c r="B31" s="116" t="s">
        <v>78</v>
      </c>
      <c r="C31" s="190">
        <v>2260</v>
      </c>
      <c r="D31" s="124">
        <v>256466.97</v>
      </c>
      <c r="E31" s="124"/>
      <c r="F31" s="304">
        <v>12547</v>
      </c>
      <c r="G31" s="305">
        <f t="shared" si="0"/>
        <v>269013.96999999997</v>
      </c>
      <c r="H31" s="174"/>
      <c r="I31" s="174"/>
      <c r="J31" s="174"/>
      <c r="K31" s="174"/>
      <c r="L31" s="174"/>
      <c r="M31" s="174"/>
    </row>
    <row r="32" spans="1:13" x14ac:dyDescent="0.25">
      <c r="A32" s="190"/>
      <c r="B32" s="116" t="s">
        <v>692</v>
      </c>
      <c r="C32" s="190">
        <v>2300</v>
      </c>
      <c r="D32" s="124">
        <v>13381.04</v>
      </c>
      <c r="E32" s="124"/>
      <c r="F32" s="304">
        <v>2812</v>
      </c>
      <c r="G32" s="305">
        <f t="shared" si="0"/>
        <v>16193.04</v>
      </c>
      <c r="H32" s="174"/>
      <c r="I32" s="174"/>
      <c r="J32" s="174"/>
      <c r="K32" s="174"/>
      <c r="L32" s="174"/>
      <c r="M32" s="174"/>
    </row>
    <row r="33" spans="1:13" x14ac:dyDescent="0.25">
      <c r="A33" s="190"/>
      <c r="B33" s="116" t="s">
        <v>394</v>
      </c>
      <c r="C33" s="190">
        <v>2310</v>
      </c>
      <c r="D33" s="124">
        <v>10072.48</v>
      </c>
      <c r="E33" s="124"/>
      <c r="F33" s="304">
        <v>308</v>
      </c>
      <c r="G33" s="305">
        <f t="shared" si="0"/>
        <v>10380.48</v>
      </c>
      <c r="H33" s="174"/>
      <c r="I33" s="174"/>
      <c r="J33" s="174"/>
      <c r="K33" s="174"/>
      <c r="L33" s="174"/>
      <c r="M33" s="174"/>
    </row>
    <row r="34" spans="1:13" x14ac:dyDescent="0.25">
      <c r="A34" s="190"/>
      <c r="B34" s="116" t="s">
        <v>836</v>
      </c>
      <c r="C34" s="190">
        <v>2355</v>
      </c>
      <c r="D34" s="124">
        <v>3021.16</v>
      </c>
      <c r="E34" s="124"/>
      <c r="F34" s="304">
        <v>0</v>
      </c>
      <c r="G34" s="305">
        <f t="shared" si="0"/>
        <v>3021.16</v>
      </c>
      <c r="H34" s="174"/>
      <c r="I34" s="174"/>
      <c r="J34" s="174"/>
      <c r="K34" s="174"/>
      <c r="L34" s="174"/>
      <c r="M34" s="174"/>
    </row>
    <row r="35" spans="1:13" x14ac:dyDescent="0.25">
      <c r="A35" s="190"/>
      <c r="B35" s="116" t="s">
        <v>693</v>
      </c>
      <c r="C35" s="190">
        <v>2400</v>
      </c>
      <c r="D35" s="124">
        <v>14990.33</v>
      </c>
      <c r="E35" s="124"/>
      <c r="F35" s="304">
        <v>3195</v>
      </c>
      <c r="G35" s="305">
        <f t="shared" ref="G35:G65" si="1">SUM(D35:F35)</f>
        <v>18185.330000000002</v>
      </c>
      <c r="H35" s="174"/>
      <c r="I35" s="174"/>
      <c r="J35" s="174"/>
      <c r="K35" s="174"/>
      <c r="L35" s="174"/>
      <c r="M35" s="174"/>
    </row>
    <row r="36" spans="1:13" x14ac:dyDescent="0.25">
      <c r="A36" s="190"/>
      <c r="B36" s="116" t="s">
        <v>127</v>
      </c>
      <c r="C36" s="190">
        <v>2410</v>
      </c>
      <c r="D36" s="124">
        <f>3853.5+0</f>
        <v>3853.5</v>
      </c>
      <c r="E36" s="124"/>
      <c r="F36" s="304">
        <v>17762</v>
      </c>
      <c r="G36" s="305">
        <f t="shared" si="1"/>
        <v>21615.5</v>
      </c>
      <c r="H36" s="174"/>
      <c r="I36" s="174"/>
      <c r="J36" s="174"/>
      <c r="K36" s="174"/>
      <c r="L36" s="174"/>
      <c r="M36" s="174"/>
    </row>
    <row r="37" spans="1:13" x14ac:dyDescent="0.25">
      <c r="A37" s="190"/>
      <c r="B37" s="116" t="s">
        <v>460</v>
      </c>
      <c r="C37" s="190">
        <v>2420</v>
      </c>
      <c r="D37" s="124">
        <v>12293.59</v>
      </c>
      <c r="E37" s="124"/>
      <c r="F37" s="304"/>
      <c r="G37" s="305">
        <f t="shared" si="1"/>
        <v>12293.59</v>
      </c>
      <c r="H37" s="174"/>
      <c r="I37" s="174"/>
      <c r="J37" s="174"/>
      <c r="K37" s="174"/>
      <c r="L37" s="174"/>
      <c r="M37" s="174"/>
    </row>
    <row r="38" spans="1:13" x14ac:dyDescent="0.25">
      <c r="A38" s="190" t="s">
        <v>79</v>
      </c>
      <c r="B38" s="116" t="s">
        <v>80</v>
      </c>
      <c r="C38" s="190">
        <v>2421</v>
      </c>
      <c r="D38" s="124">
        <v>451490.62</v>
      </c>
      <c r="E38" s="124"/>
      <c r="F38" s="304">
        <v>37588</v>
      </c>
      <c r="G38" s="305">
        <f t="shared" si="1"/>
        <v>489078.62</v>
      </c>
      <c r="H38" s="174"/>
      <c r="I38" s="174"/>
      <c r="J38" s="174"/>
      <c r="K38" s="174"/>
      <c r="L38" s="174"/>
      <c r="M38" s="174"/>
    </row>
    <row r="39" spans="1:13" x14ac:dyDescent="0.25">
      <c r="A39" s="190" t="s">
        <v>383</v>
      </c>
      <c r="B39" s="116" t="s">
        <v>82</v>
      </c>
      <c r="C39" s="190">
        <v>2422</v>
      </c>
      <c r="D39" s="124">
        <v>34749</v>
      </c>
      <c r="E39" s="124"/>
      <c r="F39" s="304">
        <v>11392</v>
      </c>
      <c r="G39" s="305">
        <f t="shared" si="1"/>
        <v>46141</v>
      </c>
      <c r="H39" s="174"/>
      <c r="I39" s="174"/>
      <c r="J39" s="174"/>
      <c r="K39" s="174"/>
      <c r="L39" s="174"/>
      <c r="M39" s="174"/>
    </row>
    <row r="40" spans="1:13" x14ac:dyDescent="0.25">
      <c r="A40" s="190" t="s">
        <v>382</v>
      </c>
      <c r="B40" s="116" t="s">
        <v>81</v>
      </c>
      <c r="C40" s="190">
        <v>2423</v>
      </c>
      <c r="D40" s="124">
        <v>7835.18</v>
      </c>
      <c r="E40" s="124"/>
      <c r="F40" s="304"/>
      <c r="G40" s="305">
        <f t="shared" si="1"/>
        <v>7835.18</v>
      </c>
      <c r="H40" s="174"/>
      <c r="I40" s="174"/>
      <c r="J40" s="174"/>
      <c r="K40" s="174"/>
      <c r="L40" s="174"/>
      <c r="M40" s="174"/>
    </row>
    <row r="41" spans="1:13" x14ac:dyDescent="0.25">
      <c r="A41" s="190" t="s">
        <v>384</v>
      </c>
      <c r="B41" s="116" t="s">
        <v>264</v>
      </c>
      <c r="C41" s="190">
        <v>2424</v>
      </c>
      <c r="D41" s="124">
        <v>66032</v>
      </c>
      <c r="E41" s="124"/>
      <c r="F41" s="304">
        <v>22817</v>
      </c>
      <c r="G41" s="305">
        <f t="shared" si="1"/>
        <v>88849</v>
      </c>
      <c r="H41" s="174"/>
      <c r="I41" s="174"/>
      <c r="J41" s="174"/>
      <c r="K41" s="174"/>
      <c r="L41" s="174"/>
      <c r="M41" s="174"/>
    </row>
    <row r="42" spans="1:13" x14ac:dyDescent="0.25">
      <c r="A42" s="190" t="s">
        <v>385</v>
      </c>
      <c r="B42" s="116" t="s">
        <v>83</v>
      </c>
      <c r="C42" s="190">
        <v>2425</v>
      </c>
      <c r="D42" s="124">
        <v>29926</v>
      </c>
      <c r="E42" s="124"/>
      <c r="F42" s="304">
        <v>3642</v>
      </c>
      <c r="G42" s="305">
        <f t="shared" si="1"/>
        <v>33568</v>
      </c>
      <c r="H42" s="174"/>
      <c r="I42" s="174"/>
      <c r="J42" s="174"/>
      <c r="K42" s="174"/>
      <c r="L42" s="174"/>
      <c r="M42" s="174"/>
    </row>
    <row r="43" spans="1:13" x14ac:dyDescent="0.25">
      <c r="A43" s="190" t="s">
        <v>327</v>
      </c>
      <c r="B43" s="116" t="s">
        <v>88</v>
      </c>
      <c r="C43" s="190">
        <v>2426</v>
      </c>
      <c r="D43" s="124">
        <v>38553</v>
      </c>
      <c r="E43" s="124"/>
      <c r="F43" s="304">
        <v>9385</v>
      </c>
      <c r="G43" s="305">
        <f t="shared" si="1"/>
        <v>47938</v>
      </c>
      <c r="H43" s="174"/>
      <c r="I43" s="174"/>
      <c r="J43" s="174"/>
      <c r="K43" s="174"/>
      <c r="L43" s="174"/>
      <c r="M43" s="174"/>
    </row>
    <row r="44" spans="1:13" x14ac:dyDescent="0.25">
      <c r="A44" s="190"/>
      <c r="B44" s="116" t="s">
        <v>461</v>
      </c>
      <c r="C44" s="190">
        <v>2440</v>
      </c>
      <c r="D44" s="124">
        <v>31386.75</v>
      </c>
      <c r="E44" s="124"/>
      <c r="F44" s="304"/>
      <c r="G44" s="305">
        <f t="shared" si="1"/>
        <v>31386.75</v>
      </c>
      <c r="H44" s="174"/>
      <c r="I44" s="174"/>
      <c r="J44" s="174"/>
      <c r="K44" s="174"/>
      <c r="L44" s="174"/>
      <c r="M44" s="174"/>
    </row>
    <row r="45" spans="1:13" x14ac:dyDescent="0.25">
      <c r="A45" s="190" t="s">
        <v>389</v>
      </c>
      <c r="B45" s="116" t="s">
        <v>87</v>
      </c>
      <c r="C45" s="190">
        <v>2441</v>
      </c>
      <c r="D45" s="124">
        <v>67547.710000000006</v>
      </c>
      <c r="E45" s="124"/>
      <c r="F45" s="304">
        <v>13611</v>
      </c>
      <c r="G45" s="305">
        <f t="shared" si="1"/>
        <v>81158.710000000006</v>
      </c>
      <c r="H45" s="174"/>
      <c r="I45" s="174"/>
      <c r="J45" s="174"/>
      <c r="K45" s="174"/>
      <c r="L45" s="174"/>
      <c r="M45" s="174"/>
    </row>
    <row r="46" spans="1:13" x14ac:dyDescent="0.25">
      <c r="A46" s="190" t="s">
        <v>438</v>
      </c>
      <c r="B46" s="116" t="s">
        <v>89</v>
      </c>
      <c r="C46" s="190">
        <v>2442</v>
      </c>
      <c r="D46" s="124">
        <v>15056</v>
      </c>
      <c r="E46" s="124"/>
      <c r="F46" s="304">
        <v>6067</v>
      </c>
      <c r="G46" s="305">
        <f t="shared" si="1"/>
        <v>21123</v>
      </c>
      <c r="H46" s="174"/>
      <c r="I46" s="174"/>
      <c r="J46" s="174"/>
      <c r="K46" s="174"/>
      <c r="L46" s="174"/>
      <c r="M46" s="174"/>
    </row>
    <row r="47" spans="1:13" x14ac:dyDescent="0.25">
      <c r="A47" s="190" t="s">
        <v>390</v>
      </c>
      <c r="B47" s="116" t="s">
        <v>90</v>
      </c>
      <c r="C47" s="190">
        <v>2443</v>
      </c>
      <c r="D47" s="124">
        <v>26510</v>
      </c>
      <c r="E47" s="124"/>
      <c r="F47" s="304">
        <v>2938</v>
      </c>
      <c r="G47" s="305">
        <f t="shared" si="1"/>
        <v>29448</v>
      </c>
      <c r="H47" s="174"/>
      <c r="I47" s="174"/>
      <c r="J47" s="174"/>
      <c r="K47" s="174"/>
      <c r="L47" s="174"/>
      <c r="M47" s="174"/>
    </row>
    <row r="48" spans="1:13" x14ac:dyDescent="0.25">
      <c r="A48" s="190" t="s">
        <v>391</v>
      </c>
      <c r="B48" s="116" t="s">
        <v>91</v>
      </c>
      <c r="C48" s="190">
        <v>2444</v>
      </c>
      <c r="D48" s="124">
        <v>10795</v>
      </c>
      <c r="E48" s="124"/>
      <c r="F48" s="304">
        <v>2778</v>
      </c>
      <c r="G48" s="305">
        <f t="shared" si="1"/>
        <v>13573</v>
      </c>
      <c r="H48" s="174"/>
      <c r="I48" s="174"/>
      <c r="J48" s="174"/>
      <c r="K48" s="174"/>
      <c r="L48" s="174"/>
      <c r="M48" s="174"/>
    </row>
    <row r="49" spans="1:13" x14ac:dyDescent="0.25">
      <c r="A49" s="190" t="s">
        <v>386</v>
      </c>
      <c r="B49" s="116" t="s">
        <v>84</v>
      </c>
      <c r="C49" s="190">
        <v>2445</v>
      </c>
      <c r="D49" s="124">
        <v>87869.54</v>
      </c>
      <c r="E49" s="124"/>
      <c r="F49" s="304">
        <v>2571</v>
      </c>
      <c r="G49" s="305">
        <f t="shared" si="1"/>
        <v>90440.54</v>
      </c>
      <c r="H49" s="174"/>
      <c r="I49" s="174"/>
      <c r="J49" s="174"/>
      <c r="K49" s="174"/>
      <c r="L49" s="174"/>
      <c r="M49" s="174"/>
    </row>
    <row r="50" spans="1:13" x14ac:dyDescent="0.25">
      <c r="A50" s="190" t="s">
        <v>387</v>
      </c>
      <c r="B50" s="116" t="s">
        <v>85</v>
      </c>
      <c r="C50" s="190">
        <v>2446</v>
      </c>
      <c r="D50" s="124">
        <v>22700.14</v>
      </c>
      <c r="E50" s="124"/>
      <c r="F50" s="304">
        <v>2488</v>
      </c>
      <c r="G50" s="305">
        <f t="shared" si="1"/>
        <v>25188.14</v>
      </c>
      <c r="H50" s="174"/>
      <c r="I50" s="174"/>
      <c r="J50" s="174"/>
      <c r="K50" s="174"/>
      <c r="L50" s="174"/>
      <c r="M50" s="174"/>
    </row>
    <row r="51" spans="1:13" x14ac:dyDescent="0.25">
      <c r="A51" s="190" t="s">
        <v>388</v>
      </c>
      <c r="B51" s="116" t="s">
        <v>86</v>
      </c>
      <c r="C51" s="190">
        <v>2447</v>
      </c>
      <c r="D51" s="124">
        <v>37445.919999999998</v>
      </c>
      <c r="E51" s="124"/>
      <c r="F51" s="304">
        <v>2377</v>
      </c>
      <c r="G51" s="305">
        <f t="shared" si="1"/>
        <v>39822.92</v>
      </c>
      <c r="H51" s="174"/>
      <c r="I51" s="174"/>
      <c r="J51" s="174"/>
      <c r="K51" s="174"/>
      <c r="L51" s="174"/>
      <c r="M51" s="174"/>
    </row>
    <row r="52" spans="1:13" x14ac:dyDescent="0.25">
      <c r="A52" s="190"/>
      <c r="B52" s="116" t="s">
        <v>771</v>
      </c>
      <c r="C52" s="190">
        <v>2500</v>
      </c>
      <c r="D52" s="124">
        <v>0</v>
      </c>
      <c r="E52" s="124"/>
      <c r="F52" s="304"/>
      <c r="G52" s="305">
        <f t="shared" si="1"/>
        <v>0</v>
      </c>
      <c r="H52" s="174"/>
      <c r="I52" s="174"/>
      <c r="J52" s="174"/>
      <c r="K52" s="174"/>
      <c r="L52" s="174"/>
      <c r="M52" s="174"/>
    </row>
    <row r="53" spans="1:13" x14ac:dyDescent="0.25">
      <c r="A53" s="190"/>
      <c r="B53" s="116" t="s">
        <v>655</v>
      </c>
      <c r="C53" s="190">
        <v>2800</v>
      </c>
      <c r="D53" s="124">
        <v>89532.43</v>
      </c>
      <c r="E53" s="124"/>
      <c r="F53" s="304">
        <v>121929</v>
      </c>
      <c r="G53" s="305">
        <f t="shared" si="1"/>
        <v>211461.43</v>
      </c>
      <c r="H53" s="174"/>
      <c r="I53" s="174"/>
      <c r="J53" s="174"/>
      <c r="K53" s="174"/>
      <c r="L53" s="174"/>
      <c r="M53" s="174"/>
    </row>
    <row r="54" spans="1:13" x14ac:dyDescent="0.25">
      <c r="A54" s="190" t="s">
        <v>392</v>
      </c>
      <c r="B54" s="116" t="s">
        <v>64</v>
      </c>
      <c r="C54" s="190">
        <v>3000</v>
      </c>
      <c r="D54" s="124">
        <v>31181.4</v>
      </c>
      <c r="E54" s="124"/>
      <c r="F54" s="304">
        <v>4520</v>
      </c>
      <c r="G54" s="305">
        <f t="shared" si="1"/>
        <v>35701.4</v>
      </c>
      <c r="H54" s="174"/>
      <c r="I54" s="174"/>
      <c r="J54" s="174"/>
      <c r="K54" s="174"/>
      <c r="L54" s="174"/>
      <c r="M54" s="174"/>
    </row>
    <row r="55" spans="1:13" x14ac:dyDescent="0.25">
      <c r="A55" s="190"/>
      <c r="B55" s="116" t="s">
        <v>694</v>
      </c>
      <c r="C55" s="190">
        <v>4000</v>
      </c>
      <c r="D55" s="124">
        <v>13894.73</v>
      </c>
      <c r="E55" s="124"/>
      <c r="F55" s="304"/>
      <c r="G55" s="305">
        <f t="shared" si="1"/>
        <v>13894.73</v>
      </c>
      <c r="H55" s="174"/>
      <c r="I55" s="174"/>
      <c r="J55" s="174"/>
      <c r="K55" s="174"/>
      <c r="L55" s="174"/>
      <c r="M55" s="174"/>
    </row>
    <row r="56" spans="1:13" x14ac:dyDescent="0.25">
      <c r="A56" s="190"/>
      <c r="B56" s="116" t="s">
        <v>580</v>
      </c>
      <c r="C56" s="190">
        <v>4001</v>
      </c>
      <c r="D56" s="124">
        <v>104120.15</v>
      </c>
      <c r="E56" s="124"/>
      <c r="F56" s="304"/>
      <c r="G56" s="305">
        <f t="shared" si="1"/>
        <v>104120.15</v>
      </c>
      <c r="H56" s="174"/>
      <c r="I56" s="174"/>
      <c r="J56" s="174"/>
      <c r="K56" s="174"/>
      <c r="L56" s="174"/>
      <c r="M56" s="174"/>
    </row>
    <row r="57" spans="1:13" x14ac:dyDescent="0.25">
      <c r="A57" s="190"/>
      <c r="B57" s="116" t="s">
        <v>462</v>
      </c>
      <c r="C57" s="190">
        <v>4100</v>
      </c>
      <c r="D57" s="124">
        <v>74201.960000000006</v>
      </c>
      <c r="E57" s="124"/>
      <c r="F57" s="304"/>
      <c r="G57" s="305">
        <f t="shared" si="1"/>
        <v>74201.960000000006</v>
      </c>
      <c r="H57" s="174"/>
      <c r="I57" s="174"/>
      <c r="J57" s="174"/>
      <c r="K57" s="174"/>
      <c r="L57" s="174"/>
      <c r="M57" s="174"/>
    </row>
    <row r="58" spans="1:13" x14ac:dyDescent="0.25">
      <c r="A58" s="190"/>
      <c r="B58" s="116" t="s">
        <v>834</v>
      </c>
      <c r="C58" s="190">
        <v>4200</v>
      </c>
      <c r="D58" s="124">
        <v>685.42</v>
      </c>
      <c r="E58" s="124"/>
      <c r="F58" s="304">
        <v>0</v>
      </c>
      <c r="G58" s="305">
        <f t="shared" si="1"/>
        <v>685.42</v>
      </c>
      <c r="H58" s="174"/>
      <c r="I58" s="174"/>
      <c r="J58" s="174"/>
      <c r="K58" s="174"/>
      <c r="L58" s="174"/>
      <c r="M58" s="174"/>
    </row>
    <row r="59" spans="1:13" x14ac:dyDescent="0.25">
      <c r="A59" s="190"/>
      <c r="B59" s="116" t="s">
        <v>833</v>
      </c>
      <c r="C59" s="190">
        <v>4300</v>
      </c>
      <c r="D59" s="124">
        <v>2821.17</v>
      </c>
      <c r="E59" s="124">
        <v>0</v>
      </c>
      <c r="F59" s="304">
        <v>0</v>
      </c>
      <c r="G59" s="305">
        <f t="shared" si="1"/>
        <v>2821.17</v>
      </c>
      <c r="H59" s="174"/>
      <c r="I59" s="174"/>
      <c r="J59" s="174"/>
      <c r="K59" s="174"/>
      <c r="L59" s="174"/>
      <c r="M59" s="174"/>
    </row>
    <row r="60" spans="1:13" x14ac:dyDescent="0.25">
      <c r="A60" s="190"/>
      <c r="B60" s="116" t="s">
        <v>656</v>
      </c>
      <c r="C60" s="190">
        <v>4400</v>
      </c>
      <c r="D60" s="124">
        <v>8344.02</v>
      </c>
      <c r="E60" s="124"/>
      <c r="F60" s="304"/>
      <c r="G60" s="305">
        <f t="shared" si="1"/>
        <v>8344.02</v>
      </c>
      <c r="H60" s="174"/>
      <c r="I60" s="174"/>
      <c r="J60" s="174"/>
      <c r="K60" s="174"/>
      <c r="L60" s="174"/>
      <c r="M60" s="174"/>
    </row>
    <row r="61" spans="1:13" x14ac:dyDescent="0.25">
      <c r="A61" s="190" t="s">
        <v>77</v>
      </c>
      <c r="B61" s="116" t="s">
        <v>696</v>
      </c>
      <c r="C61" s="190" t="s">
        <v>695</v>
      </c>
      <c r="D61" s="124">
        <v>0</v>
      </c>
      <c r="E61" s="124"/>
      <c r="F61" s="304">
        <v>0</v>
      </c>
      <c r="G61" s="305">
        <f t="shared" si="1"/>
        <v>0</v>
      </c>
      <c r="H61" s="174"/>
      <c r="I61" s="174"/>
      <c r="J61" s="174"/>
      <c r="K61" s="174"/>
      <c r="L61" s="174"/>
      <c r="M61" s="174"/>
    </row>
    <row r="62" spans="1:13" x14ac:dyDescent="0.25">
      <c r="A62" s="190"/>
      <c r="B62" s="116" t="s">
        <v>698</v>
      </c>
      <c r="C62" s="190"/>
      <c r="D62" s="124"/>
      <c r="E62" s="124"/>
      <c r="F62" s="304"/>
      <c r="G62" s="305">
        <f t="shared" si="1"/>
        <v>0</v>
      </c>
      <c r="H62" s="174"/>
      <c r="I62" s="174"/>
      <c r="J62" s="174"/>
      <c r="K62" s="174"/>
      <c r="L62" s="174"/>
      <c r="M62" s="174"/>
    </row>
    <row r="63" spans="1:13" x14ac:dyDescent="0.25">
      <c r="A63" s="190"/>
      <c r="B63" s="116" t="s">
        <v>772</v>
      </c>
      <c r="C63" s="190"/>
      <c r="D63" s="124"/>
      <c r="E63" s="124">
        <v>0</v>
      </c>
      <c r="F63" s="304">
        <v>7178</v>
      </c>
      <c r="G63" s="305">
        <f t="shared" si="1"/>
        <v>7178</v>
      </c>
      <c r="H63" s="174"/>
      <c r="I63" s="174"/>
      <c r="J63" s="174"/>
      <c r="K63" s="174"/>
      <c r="L63" s="174"/>
      <c r="M63" s="174"/>
    </row>
    <row r="64" spans="1:13" x14ac:dyDescent="0.25">
      <c r="A64" s="190" t="s">
        <v>393</v>
      </c>
      <c r="B64" s="116" t="s">
        <v>436</v>
      </c>
      <c r="C64" s="190"/>
      <c r="D64" s="124"/>
      <c r="E64" s="124"/>
      <c r="F64" s="304">
        <v>13516</v>
      </c>
      <c r="G64" s="305">
        <f t="shared" si="1"/>
        <v>13516</v>
      </c>
      <c r="H64" s="174"/>
      <c r="I64" s="174"/>
      <c r="J64" s="174"/>
      <c r="K64" s="174"/>
      <c r="L64" s="174"/>
      <c r="M64" s="174"/>
    </row>
    <row r="65" spans="1:56" ht="16.5" thickBot="1" x14ac:dyDescent="0.3">
      <c r="A65" s="190"/>
      <c r="B65" s="116" t="s">
        <v>699</v>
      </c>
      <c r="C65" s="190"/>
      <c r="D65" s="124"/>
      <c r="E65" s="124"/>
      <c r="F65" s="304">
        <v>3588</v>
      </c>
      <c r="G65" s="305">
        <f t="shared" si="1"/>
        <v>3588</v>
      </c>
      <c r="H65" s="174"/>
      <c r="I65" s="174"/>
      <c r="J65" s="174"/>
      <c r="K65" s="174"/>
      <c r="L65" s="174"/>
      <c r="M65" s="174"/>
    </row>
    <row r="66" spans="1:56" s="168" customFormat="1" ht="21.75" customHeight="1" thickTop="1" thickBot="1" x14ac:dyDescent="0.3">
      <c r="A66" s="307" t="s">
        <v>47</v>
      </c>
      <c r="B66" s="307" t="s">
        <v>0</v>
      </c>
      <c r="C66" s="307"/>
      <c r="D66" s="644">
        <f>SUM(D3:D65)</f>
        <v>13971800.290000001</v>
      </c>
      <c r="E66" s="308">
        <f>SUM(E3:E65)</f>
        <v>0</v>
      </c>
      <c r="F66" s="645">
        <f>SUM(F3:F65)</f>
        <v>1723789</v>
      </c>
      <c r="G66" s="309">
        <f>SUM(G3:G65)</f>
        <v>15695589.290000001</v>
      </c>
      <c r="H66" s="310"/>
      <c r="I66" s="310"/>
      <c r="J66" s="310"/>
      <c r="K66" s="310"/>
      <c r="L66" s="310"/>
      <c r="M66" s="310"/>
      <c r="N66" s="267"/>
      <c r="O66" s="267"/>
      <c r="P66" s="267"/>
      <c r="Q66" s="267"/>
      <c r="R66" s="267"/>
      <c r="S66" s="267"/>
      <c r="T66" s="267"/>
      <c r="U66" s="267"/>
      <c r="V66" s="267"/>
      <c r="W66" s="267"/>
      <c r="X66" s="267"/>
      <c r="Y66" s="267"/>
      <c r="Z66" s="267"/>
      <c r="AA66" s="267"/>
      <c r="AB66" s="267"/>
      <c r="AC66" s="267"/>
      <c r="AD66" s="267"/>
      <c r="AE66" s="267"/>
      <c r="AF66" s="267"/>
      <c r="AG66" s="267"/>
      <c r="AH66" s="267"/>
      <c r="AI66" s="267"/>
      <c r="AJ66" s="267"/>
      <c r="AK66" s="267"/>
      <c r="AL66" s="267"/>
      <c r="AM66" s="267"/>
      <c r="AN66" s="267"/>
      <c r="AO66" s="267"/>
      <c r="AP66" s="267"/>
      <c r="AQ66" s="267"/>
      <c r="AR66" s="267"/>
      <c r="AS66" s="267"/>
      <c r="AT66" s="267"/>
      <c r="AU66" s="267"/>
      <c r="AV66" s="267"/>
      <c r="AW66" s="267"/>
      <c r="AX66" s="267"/>
      <c r="AY66" s="267"/>
      <c r="AZ66" s="267"/>
      <c r="BA66" s="267"/>
      <c r="BB66" s="267"/>
      <c r="BC66" s="267"/>
      <c r="BD66" s="267"/>
    </row>
    <row r="67" spans="1:56" ht="16.5" thickTop="1" x14ac:dyDescent="0.25">
      <c r="A67" s="161"/>
      <c r="D67" s="311"/>
      <c r="E67" s="312"/>
      <c r="F67" s="311"/>
      <c r="G67" s="174"/>
      <c r="H67" s="174"/>
      <c r="I67" s="174"/>
      <c r="J67" s="174"/>
      <c r="K67" s="174"/>
      <c r="L67" s="174"/>
      <c r="M67" s="174"/>
    </row>
    <row r="68" spans="1:56" s="449" customFormat="1" ht="12" x14ac:dyDescent="0.2">
      <c r="A68" s="411"/>
      <c r="C68" s="641"/>
      <c r="D68" s="478">
        <v>13971800.289999999</v>
      </c>
      <c r="E68" s="642"/>
      <c r="F68" s="643">
        <v>1723789</v>
      </c>
      <c r="G68" s="455"/>
      <c r="H68" s="455"/>
      <c r="I68" s="455"/>
      <c r="J68" s="455"/>
      <c r="K68" s="455"/>
      <c r="L68" s="455"/>
      <c r="M68" s="455"/>
    </row>
    <row r="69" spans="1:56" s="449" customFormat="1" ht="12" x14ac:dyDescent="0.2">
      <c r="A69" s="411"/>
      <c r="C69" s="411"/>
      <c r="D69" s="643">
        <f>D66-D68</f>
        <v>0</v>
      </c>
      <c r="E69" s="642"/>
      <c r="F69" s="643">
        <f>F66-F68</f>
        <v>0</v>
      </c>
      <c r="G69" s="455"/>
      <c r="H69" s="455"/>
      <c r="I69" s="455"/>
      <c r="J69" s="455"/>
      <c r="K69" s="455"/>
      <c r="L69" s="455"/>
      <c r="M69" s="455"/>
    </row>
    <row r="70" spans="1:56" x14ac:dyDescent="0.25">
      <c r="A70" s="169" t="s">
        <v>837</v>
      </c>
      <c r="E70" s="478"/>
      <c r="F70" s="311"/>
      <c r="G70" s="174"/>
      <c r="H70" s="174"/>
      <c r="I70" s="174"/>
      <c r="J70" s="174"/>
      <c r="K70" s="174"/>
      <c r="L70" s="174"/>
      <c r="M70" s="174"/>
    </row>
    <row r="71" spans="1:56" x14ac:dyDescent="0.25">
      <c r="D71" s="311"/>
      <c r="E71" s="479"/>
      <c r="F71" s="311"/>
    </row>
    <row r="72" spans="1:56" x14ac:dyDescent="0.25">
      <c r="F72" s="311"/>
    </row>
    <row r="73" spans="1:56" x14ac:dyDescent="0.25">
      <c r="E73" s="174"/>
      <c r="F73" s="311"/>
    </row>
  </sheetData>
  <autoFilter ref="A2:G68" xr:uid="{00000000-0009-0000-0000-00000A000000}"/>
  <sortState xmlns:xlrd2="http://schemas.microsoft.com/office/spreadsheetml/2017/richdata2" ref="A3:G65">
    <sortCondition ref="C3:C65"/>
  </sortState>
  <mergeCells count="1">
    <mergeCell ref="A1:G1"/>
  </mergeCells>
  <phoneticPr fontId="21" type="noConversion"/>
  <printOptions horizontalCentered="1"/>
  <pageMargins left="0" right="0" top="1.25" bottom="1" header="0.33" footer="0.5"/>
  <pageSetup scale="95" fitToHeight="0" orientation="portrait" r:id="rId1"/>
  <headerFooter alignWithMargins="0">
    <oddHeader>&amp;C&amp;"Arial,Bold"&amp;12DEPARTMENT OF CORRECTIONS
 COST OF CARE Year 2021
(Based on Fiscal Year 2020 Actuals)</oddHeader>
    <oddFooter>&amp;L&amp;8&amp;Z&amp;F&amp;R&amp;8&amp;D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59999389629810485"/>
    <pageSetUpPr fitToPage="1"/>
  </sheetPr>
  <dimension ref="A1:BE42"/>
  <sheetViews>
    <sheetView showGridLines="0" workbookViewId="0">
      <pane xSplit="1" ySplit="2" topLeftCell="D12" activePane="bottomRight" state="frozen"/>
      <selection activeCell="B35" sqref="B35"/>
      <selection pane="topRight" activeCell="B35" sqref="B35"/>
      <selection pane="bottomLeft" activeCell="B35" sqref="B35"/>
      <selection pane="bottomRight" activeCell="D33" sqref="D33"/>
    </sheetView>
  </sheetViews>
  <sheetFormatPr defaultColWidth="9.140625" defaultRowHeight="12.75" x14ac:dyDescent="0.2"/>
  <cols>
    <col min="1" max="1" width="31.85546875" style="113" customWidth="1"/>
    <col min="2" max="2" width="12.7109375" style="113" customWidth="1"/>
    <col min="3" max="3" width="10.85546875" style="113" customWidth="1"/>
    <col min="4" max="4" width="17.28515625" style="241" customWidth="1"/>
    <col min="5" max="5" width="16" style="113" customWidth="1"/>
    <col min="6" max="6" width="17.5703125" style="113" bestFit="1" customWidth="1"/>
    <col min="7" max="7" width="12" style="192" bestFit="1" customWidth="1"/>
    <col min="8" max="8" width="9.140625" style="113"/>
    <col min="9" max="9" width="12.5703125" style="113" bestFit="1" customWidth="1"/>
    <col min="10" max="10" width="12" style="113" bestFit="1" customWidth="1"/>
    <col min="11" max="16384" width="9.140625" style="113"/>
  </cols>
  <sheetData>
    <row r="1" spans="1:8" ht="28.5" customHeight="1" thickBot="1" x14ac:dyDescent="0.25">
      <c r="A1" s="853" t="s">
        <v>220</v>
      </c>
      <c r="B1" s="853"/>
      <c r="C1" s="853"/>
      <c r="D1" s="853"/>
      <c r="E1" s="853"/>
      <c r="F1" s="853"/>
    </row>
    <row r="2" spans="1:8" ht="33" thickTop="1" thickBot="1" x14ac:dyDescent="0.25">
      <c r="A2" s="260" t="s">
        <v>66</v>
      </c>
      <c r="B2" s="260" t="s">
        <v>582</v>
      </c>
      <c r="C2" s="260" t="s">
        <v>583</v>
      </c>
      <c r="D2" s="313" t="s">
        <v>67</v>
      </c>
      <c r="E2" s="261" t="s">
        <v>68</v>
      </c>
      <c r="F2" s="260" t="s">
        <v>26</v>
      </c>
      <c r="G2" s="621" t="s">
        <v>727</v>
      </c>
    </row>
    <row r="3" spans="1:8" ht="15.75" customHeight="1" thickTop="1" x14ac:dyDescent="0.25">
      <c r="A3" s="116" t="s">
        <v>63</v>
      </c>
      <c r="B3" s="190"/>
      <c r="C3" s="190"/>
      <c r="D3" s="129">
        <v>0</v>
      </c>
      <c r="E3" s="125"/>
      <c r="F3" s="242">
        <f>SUM(D3:E3)</f>
        <v>0</v>
      </c>
      <c r="G3" s="192">
        <v>5200</v>
      </c>
      <c r="H3" s="113" t="s">
        <v>751</v>
      </c>
    </row>
    <row r="4" spans="1:8" ht="15.75" customHeight="1" x14ac:dyDescent="0.25">
      <c r="A4" s="116" t="s">
        <v>64</v>
      </c>
      <c r="B4" s="190"/>
      <c r="C4" s="190"/>
      <c r="D4" s="129">
        <v>0</v>
      </c>
      <c r="E4" s="125"/>
      <c r="F4" s="125">
        <f t="shared" ref="F4:F32" si="0">SUM(D4:E4)</f>
        <v>0</v>
      </c>
    </row>
    <row r="5" spans="1:8" ht="15.75" customHeight="1" x14ac:dyDescent="0.25">
      <c r="A5" s="116" t="s">
        <v>65</v>
      </c>
      <c r="B5" s="190"/>
      <c r="C5" s="190"/>
      <c r="D5" s="129">
        <v>0</v>
      </c>
      <c r="E5" s="125"/>
      <c r="F5" s="125">
        <f t="shared" si="0"/>
        <v>0</v>
      </c>
    </row>
    <row r="6" spans="1:8" ht="15.75" x14ac:dyDescent="0.25">
      <c r="A6" s="116" t="s">
        <v>400</v>
      </c>
      <c r="B6" s="190"/>
      <c r="C6" s="190"/>
      <c r="D6" s="129">
        <v>2091826.65</v>
      </c>
      <c r="E6" s="125"/>
      <c r="F6" s="125">
        <f t="shared" ref="F6" si="1">SUM(D6:E6)</f>
        <v>2091826.65</v>
      </c>
      <c r="G6" s="192">
        <v>5301</v>
      </c>
      <c r="H6" s="113" t="s">
        <v>842</v>
      </c>
    </row>
    <row r="7" spans="1:8" ht="15.75" x14ac:dyDescent="0.25">
      <c r="A7" s="116" t="s">
        <v>840</v>
      </c>
      <c r="B7" s="190"/>
      <c r="C7" s="190" t="s">
        <v>575</v>
      </c>
      <c r="D7" s="129">
        <v>1063689.79</v>
      </c>
      <c r="E7" s="125"/>
      <c r="F7" s="125">
        <f t="shared" si="0"/>
        <v>1063689.79</v>
      </c>
      <c r="G7" s="192">
        <v>5301</v>
      </c>
      <c r="H7" s="113" t="s">
        <v>841</v>
      </c>
    </row>
    <row r="8" spans="1:8" ht="15.75" x14ac:dyDescent="0.25">
      <c r="A8" s="116" t="s">
        <v>693</v>
      </c>
      <c r="B8" s="190" t="s">
        <v>604</v>
      </c>
      <c r="C8" s="190"/>
      <c r="D8" s="129">
        <v>15000</v>
      </c>
      <c r="E8" s="125"/>
      <c r="F8" s="125">
        <f t="shared" si="0"/>
        <v>15000</v>
      </c>
      <c r="G8" s="192">
        <v>5014</v>
      </c>
      <c r="H8" s="113" t="s">
        <v>752</v>
      </c>
    </row>
    <row r="9" spans="1:8" ht="15.75" x14ac:dyDescent="0.25">
      <c r="A9" s="116" t="s">
        <v>69</v>
      </c>
      <c r="B9" s="190"/>
      <c r="C9" s="190"/>
      <c r="D9" s="129">
        <f>-'Sched-D2'!E30</f>
        <v>93115.19</v>
      </c>
      <c r="E9" s="125"/>
      <c r="F9" s="125">
        <f t="shared" si="0"/>
        <v>93115.19</v>
      </c>
      <c r="H9" s="113" t="s">
        <v>821</v>
      </c>
    </row>
    <row r="10" spans="1:8" ht="15.75" x14ac:dyDescent="0.25">
      <c r="A10" s="116" t="s">
        <v>580</v>
      </c>
      <c r="B10" s="190" t="s">
        <v>581</v>
      </c>
      <c r="C10" s="190" t="s">
        <v>849</v>
      </c>
      <c r="D10" s="129">
        <f>-'Sched-D2'!E48</f>
        <v>3200000</v>
      </c>
      <c r="E10" s="125"/>
      <c r="F10" s="242">
        <f>SUM(D10:E10)</f>
        <v>3200000</v>
      </c>
      <c r="G10" s="192">
        <v>5014</v>
      </c>
      <c r="H10" s="113" t="s">
        <v>850</v>
      </c>
    </row>
    <row r="11" spans="1:8" ht="15.75" x14ac:dyDescent="0.25">
      <c r="A11" s="116" t="s">
        <v>580</v>
      </c>
      <c r="B11" s="190" t="s">
        <v>581</v>
      </c>
      <c r="C11" s="190" t="s">
        <v>585</v>
      </c>
      <c r="D11" s="129">
        <f>-'Sched-D2'!E45</f>
        <v>135770</v>
      </c>
      <c r="E11" s="125"/>
      <c r="F11" s="242">
        <f>SUM(D11:E11)</f>
        <v>135770</v>
      </c>
      <c r="G11" s="192">
        <v>5014</v>
      </c>
    </row>
    <row r="12" spans="1:8" ht="15.75" x14ac:dyDescent="0.25">
      <c r="A12" s="116" t="s">
        <v>580</v>
      </c>
      <c r="B12" s="190" t="s">
        <v>581</v>
      </c>
      <c r="C12" s="190" t="s">
        <v>585</v>
      </c>
      <c r="D12" s="129">
        <f>-'Sched-D2'!E47</f>
        <v>106428.69</v>
      </c>
      <c r="E12" s="125"/>
      <c r="F12" s="242">
        <f>SUM(D12:E12)</f>
        <v>106428.69</v>
      </c>
      <c r="G12" s="192">
        <v>5301</v>
      </c>
    </row>
    <row r="13" spans="1:8" ht="15.75" x14ac:dyDescent="0.25">
      <c r="A13" s="116" t="s">
        <v>580</v>
      </c>
      <c r="B13" s="190" t="s">
        <v>581</v>
      </c>
      <c r="C13" s="190" t="s">
        <v>584</v>
      </c>
      <c r="D13" s="129">
        <f>-'Sched-D2'!E46</f>
        <v>52400</v>
      </c>
      <c r="E13" s="125"/>
      <c r="F13" s="242">
        <f>SUM(D13:E13)</f>
        <v>52400</v>
      </c>
      <c r="G13" s="192">
        <v>5007</v>
      </c>
    </row>
    <row r="14" spans="1:8" ht="15.75" x14ac:dyDescent="0.25">
      <c r="A14" s="116" t="s">
        <v>586</v>
      </c>
      <c r="B14" s="190" t="s">
        <v>587</v>
      </c>
      <c r="C14" s="190" t="s">
        <v>750</v>
      </c>
      <c r="D14" s="129">
        <f>-'Sched-D2'!E64-'Sched-D2'!E65-'Sched-D2'!E66-'Sched-D2'!E63</f>
        <v>42916</v>
      </c>
      <c r="E14" s="125"/>
      <c r="F14" s="242">
        <f t="shared" si="0"/>
        <v>42916</v>
      </c>
      <c r="G14" s="192">
        <v>5301</v>
      </c>
      <c r="H14" s="113" t="s">
        <v>749</v>
      </c>
    </row>
    <row r="15" spans="1:8" ht="15.75" x14ac:dyDescent="0.25">
      <c r="A15" s="116" t="s">
        <v>65</v>
      </c>
      <c r="B15" s="190"/>
      <c r="C15" s="190"/>
      <c r="D15" s="129">
        <v>0</v>
      </c>
      <c r="E15" s="125"/>
      <c r="F15" s="125">
        <f t="shared" si="0"/>
        <v>0</v>
      </c>
      <c r="G15" s="622"/>
    </row>
    <row r="16" spans="1:8" ht="15.75" x14ac:dyDescent="0.25">
      <c r="A16" s="116" t="s">
        <v>70</v>
      </c>
      <c r="B16" s="190"/>
      <c r="C16" s="190"/>
      <c r="D16" s="129">
        <v>0</v>
      </c>
      <c r="E16" s="125"/>
      <c r="F16" s="125">
        <f t="shared" si="0"/>
        <v>0</v>
      </c>
    </row>
    <row r="17" spans="1:10" ht="15.75" x14ac:dyDescent="0.25">
      <c r="A17" s="116" t="s">
        <v>725</v>
      </c>
      <c r="B17" s="190" t="s">
        <v>589</v>
      </c>
      <c r="C17" s="190" t="s">
        <v>590</v>
      </c>
      <c r="D17" s="129">
        <f>-'Sched-D2'!E102</f>
        <v>140000</v>
      </c>
      <c r="E17" s="125"/>
      <c r="F17" s="242">
        <f t="shared" si="0"/>
        <v>140000</v>
      </c>
      <c r="G17" s="192">
        <v>5301</v>
      </c>
    </row>
    <row r="18" spans="1:10" ht="15.75" x14ac:dyDescent="0.25">
      <c r="A18" s="116" t="s">
        <v>62</v>
      </c>
      <c r="B18" s="190"/>
      <c r="C18" s="190"/>
      <c r="D18" s="129">
        <v>0</v>
      </c>
      <c r="E18" s="125"/>
      <c r="F18" s="125">
        <f t="shared" si="0"/>
        <v>0</v>
      </c>
    </row>
    <row r="19" spans="1:10" ht="15.75" x14ac:dyDescent="0.25">
      <c r="A19" s="116" t="s">
        <v>243</v>
      </c>
      <c r="B19" s="190"/>
      <c r="C19" s="190"/>
      <c r="D19" s="129"/>
      <c r="E19" s="125"/>
      <c r="F19" s="125"/>
    </row>
    <row r="20" spans="1:10" ht="15.75" x14ac:dyDescent="0.25">
      <c r="A20" s="116" t="s">
        <v>533</v>
      </c>
      <c r="B20" s="190" t="s">
        <v>589</v>
      </c>
      <c r="C20" s="190" t="s">
        <v>591</v>
      </c>
      <c r="D20" s="129">
        <f>-'Sched-D1'!D47</f>
        <v>10447.84</v>
      </c>
      <c r="E20" s="125"/>
      <c r="F20" s="242">
        <f t="shared" si="0"/>
        <v>10447.84</v>
      </c>
      <c r="G20" s="192">
        <v>5301</v>
      </c>
      <c r="H20" s="113" t="s">
        <v>843</v>
      </c>
    </row>
    <row r="21" spans="1:10" ht="15.75" x14ac:dyDescent="0.25">
      <c r="A21" s="116" t="s">
        <v>532</v>
      </c>
      <c r="B21" s="190"/>
      <c r="C21" s="190"/>
      <c r="D21" s="129">
        <v>0</v>
      </c>
      <c r="E21" s="125"/>
      <c r="F21" s="125">
        <f t="shared" si="0"/>
        <v>0</v>
      </c>
    </row>
    <row r="22" spans="1:10" ht="15.75" x14ac:dyDescent="0.25">
      <c r="A22" s="116" t="s">
        <v>541</v>
      </c>
      <c r="B22" s="190"/>
      <c r="C22" s="190"/>
      <c r="D22" s="129">
        <v>0</v>
      </c>
      <c r="E22" s="125"/>
      <c r="F22" s="125">
        <f t="shared" si="0"/>
        <v>0</v>
      </c>
    </row>
    <row r="23" spans="1:10" ht="15.75" x14ac:dyDescent="0.25">
      <c r="A23" s="116" t="s">
        <v>543</v>
      </c>
      <c r="B23" s="190" t="s">
        <v>589</v>
      </c>
      <c r="C23" s="190" t="s">
        <v>592</v>
      </c>
      <c r="D23" s="129">
        <f>-'Sched-D1'!D193</f>
        <v>0</v>
      </c>
      <c r="E23" s="125"/>
      <c r="F23" s="314">
        <f t="shared" si="0"/>
        <v>0</v>
      </c>
      <c r="H23" s="113" t="s">
        <v>748</v>
      </c>
    </row>
    <row r="24" spans="1:10" ht="15.75" x14ac:dyDescent="0.25">
      <c r="A24" s="116" t="s">
        <v>618</v>
      </c>
      <c r="B24" s="190"/>
      <c r="C24" s="190"/>
      <c r="D24" s="129">
        <v>0</v>
      </c>
      <c r="E24" s="125"/>
      <c r="F24" s="125">
        <f t="shared" si="0"/>
        <v>0</v>
      </c>
    </row>
    <row r="25" spans="1:10" ht="15.75" x14ac:dyDescent="0.25">
      <c r="A25" s="116" t="s">
        <v>555</v>
      </c>
      <c r="B25" s="190" t="s">
        <v>589</v>
      </c>
      <c r="C25" s="190" t="s">
        <v>593</v>
      </c>
      <c r="D25" s="129">
        <f>-'Sched-D1'!D300-'Sched-D1'!D299</f>
        <v>285603.51</v>
      </c>
      <c r="E25" s="125"/>
      <c r="F25" s="242">
        <f t="shared" si="0"/>
        <v>285603.51</v>
      </c>
      <c r="G25" s="192">
        <v>5301</v>
      </c>
      <c r="H25" s="113" t="s">
        <v>668</v>
      </c>
    </row>
    <row r="26" spans="1:10" ht="15.75" x14ac:dyDescent="0.25">
      <c r="A26" s="116" t="s">
        <v>619</v>
      </c>
      <c r="B26" s="190"/>
      <c r="C26" s="190"/>
      <c r="D26" s="129">
        <v>0</v>
      </c>
      <c r="E26" s="125"/>
      <c r="F26" s="125">
        <f t="shared" si="0"/>
        <v>0</v>
      </c>
    </row>
    <row r="27" spans="1:10" ht="15.75" x14ac:dyDescent="0.25">
      <c r="A27" s="116" t="s">
        <v>558</v>
      </c>
      <c r="B27" s="190"/>
      <c r="C27" s="190"/>
      <c r="D27" s="129">
        <v>0</v>
      </c>
      <c r="E27" s="125"/>
      <c r="F27" s="125">
        <f t="shared" si="0"/>
        <v>0</v>
      </c>
    </row>
    <row r="28" spans="1:10" ht="15.75" x14ac:dyDescent="0.25">
      <c r="A28" s="116" t="s">
        <v>546</v>
      </c>
      <c r="B28" s="190"/>
      <c r="C28" s="190"/>
      <c r="D28" s="129">
        <v>0</v>
      </c>
      <c r="E28" s="125"/>
      <c r="F28" s="125">
        <f t="shared" si="0"/>
        <v>0</v>
      </c>
    </row>
    <row r="29" spans="1:10" ht="15.75" x14ac:dyDescent="0.25">
      <c r="A29" s="116" t="s">
        <v>547</v>
      </c>
      <c r="B29" s="190"/>
      <c r="C29" s="190"/>
      <c r="D29" s="129">
        <f>'Sched-D1'!H504</f>
        <v>23194.9</v>
      </c>
      <c r="E29" s="125"/>
      <c r="F29" s="125">
        <f t="shared" si="0"/>
        <v>23194.9</v>
      </c>
      <c r="H29" s="113" t="s">
        <v>845</v>
      </c>
    </row>
    <row r="30" spans="1:10" ht="15.75" x14ac:dyDescent="0.25">
      <c r="A30" s="116" t="s">
        <v>700</v>
      </c>
      <c r="B30" s="190" t="s">
        <v>589</v>
      </c>
      <c r="C30" s="190" t="s">
        <v>594</v>
      </c>
      <c r="D30" s="129">
        <f>-'Sched-D1'!D559</f>
        <v>80358.990000000005</v>
      </c>
      <c r="E30" s="125"/>
      <c r="F30" s="242">
        <f t="shared" si="0"/>
        <v>80358.990000000005</v>
      </c>
      <c r="G30" s="192">
        <v>5301</v>
      </c>
      <c r="J30" s="157"/>
    </row>
    <row r="31" spans="1:10" ht="15.75" x14ac:dyDescent="0.25">
      <c r="A31" s="116" t="s">
        <v>73</v>
      </c>
      <c r="B31" s="190"/>
      <c r="C31" s="190"/>
      <c r="D31" s="129">
        <v>0</v>
      </c>
      <c r="E31" s="125"/>
      <c r="F31" s="125">
        <f t="shared" si="0"/>
        <v>0</v>
      </c>
    </row>
    <row r="32" spans="1:10" ht="16.5" thickBot="1" x14ac:dyDescent="0.3">
      <c r="A32" s="116" t="s">
        <v>726</v>
      </c>
      <c r="B32" s="190"/>
      <c r="C32" s="190"/>
      <c r="D32" s="129">
        <v>0</v>
      </c>
      <c r="E32" s="125"/>
      <c r="F32" s="125">
        <f t="shared" si="0"/>
        <v>0</v>
      </c>
    </row>
    <row r="33" spans="1:57" s="159" customFormat="1" ht="21.75" customHeight="1" thickTop="1" thickBot="1" x14ac:dyDescent="0.3">
      <c r="A33" s="307" t="s">
        <v>60</v>
      </c>
      <c r="B33" s="307"/>
      <c r="C33" s="307"/>
      <c r="D33" s="315">
        <f>SUM(D3:D32)</f>
        <v>7340751.5600000005</v>
      </c>
      <c r="E33" s="316">
        <f>SUM(E3:E32)</f>
        <v>0</v>
      </c>
      <c r="F33" s="762">
        <f>SUM(F3:F32)</f>
        <v>7340751.5600000005</v>
      </c>
      <c r="G33" s="623"/>
      <c r="H33" s="303"/>
      <c r="I33" s="824">
        <f>D25+D20+D30</f>
        <v>376410.34</v>
      </c>
      <c r="J33" s="825" t="s">
        <v>864</v>
      </c>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303"/>
      <c r="BD33" s="303"/>
      <c r="BE33" s="303"/>
    </row>
    <row r="34" spans="1:57" ht="13.5" thickTop="1" x14ac:dyDescent="0.2"/>
    <row r="35" spans="1:57" x14ac:dyDescent="0.2">
      <c r="A35" s="266" t="s">
        <v>846</v>
      </c>
    </row>
    <row r="37" spans="1:57" x14ac:dyDescent="0.2">
      <c r="D37" s="447"/>
    </row>
    <row r="40" spans="1:57" x14ac:dyDescent="0.2">
      <c r="F40" s="157"/>
    </row>
    <row r="42" spans="1:57" x14ac:dyDescent="0.2">
      <c r="F42" s="157"/>
    </row>
  </sheetData>
  <mergeCells count="1">
    <mergeCell ref="A1:F1"/>
  </mergeCells>
  <phoneticPr fontId="21" type="noConversion"/>
  <printOptions horizontalCentered="1"/>
  <pageMargins left="0.75" right="0.75" top="1.25" bottom="1" header="0.33" footer="0.5"/>
  <pageSetup scale="85" orientation="portrait" r:id="rId1"/>
  <headerFooter alignWithMargins="0">
    <oddHeader>&amp;C&amp;"Arial,Bold"&amp;12DEPARTMENT OF CORRECTIONS
 COST OF CARE Year 2021
(Based on Fiscal Year 2020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59999389629810485"/>
  </sheetPr>
  <dimension ref="A1:R85"/>
  <sheetViews>
    <sheetView showGridLines="0" topLeftCell="A13" workbookViewId="0">
      <selection activeCell="I34" sqref="I34"/>
    </sheetView>
  </sheetViews>
  <sheetFormatPr defaultColWidth="9.140625" defaultRowHeight="12.75" x14ac:dyDescent="0.2"/>
  <cols>
    <col min="1" max="2" width="3.7109375" style="113" customWidth="1"/>
    <col min="3" max="3" width="8.5703125" style="113" customWidth="1"/>
    <col min="4" max="4" width="30.5703125" style="113" customWidth="1"/>
    <col min="5" max="5" width="14.28515625" style="192" customWidth="1"/>
    <col min="6" max="6" width="16.28515625" style="113" customWidth="1"/>
    <col min="7" max="7" width="16.42578125" style="113" customWidth="1"/>
    <col min="8" max="8" width="11.42578125" style="113" customWidth="1"/>
    <col min="9" max="9" width="15.42578125" style="113" customWidth="1"/>
    <col min="10" max="10" width="16.140625" style="113" customWidth="1"/>
    <col min="11" max="11" width="16.140625" style="113" bestFit="1" customWidth="1"/>
    <col min="12" max="12" width="14" style="113" customWidth="1"/>
    <col min="13" max="13" width="16" style="113" bestFit="1" customWidth="1"/>
    <col min="14" max="14" width="15" style="113" bestFit="1" customWidth="1"/>
    <col min="15" max="15" width="18.28515625" style="113" customWidth="1"/>
    <col min="16" max="16" width="1.5703125" style="113" customWidth="1"/>
    <col min="17" max="17" width="16.5703125" style="113" customWidth="1"/>
    <col min="18" max="18" width="25.5703125" style="113" customWidth="1"/>
    <col min="19" max="16384" width="9.140625" style="113"/>
  </cols>
  <sheetData>
    <row r="1" spans="1:18" ht="21" customHeight="1" thickBot="1" x14ac:dyDescent="0.25">
      <c r="A1" s="899" t="s">
        <v>217</v>
      </c>
      <c r="B1" s="899"/>
      <c r="C1" s="899"/>
      <c r="D1" s="899"/>
      <c r="E1" s="899"/>
      <c r="F1" s="899"/>
      <c r="G1" s="899"/>
      <c r="H1" s="899"/>
      <c r="I1" s="899"/>
      <c r="J1" s="899"/>
      <c r="M1" s="157"/>
    </row>
    <row r="2" spans="1:18" ht="24.75" customHeight="1" thickBot="1" x14ac:dyDescent="0.25">
      <c r="A2" s="903" t="s">
        <v>140</v>
      </c>
      <c r="B2" s="904"/>
      <c r="C2" s="904"/>
      <c r="D2" s="354"/>
      <c r="E2" s="355" t="s">
        <v>572</v>
      </c>
      <c r="F2" s="902" t="s">
        <v>218</v>
      </c>
      <c r="G2" s="902"/>
      <c r="H2" s="356" t="s">
        <v>119</v>
      </c>
      <c r="I2" s="370" t="s">
        <v>142</v>
      </c>
      <c r="J2" s="357" t="s">
        <v>120</v>
      </c>
      <c r="M2" s="348"/>
    </row>
    <row r="3" spans="1:18" x14ac:dyDescent="0.2">
      <c r="A3" s="635" t="s">
        <v>628</v>
      </c>
      <c r="B3" s="349"/>
      <c r="C3" s="350"/>
      <c r="D3" s="351"/>
      <c r="E3" s="352"/>
      <c r="F3" s="353"/>
      <c r="G3" s="353"/>
      <c r="H3" s="358"/>
      <c r="I3" s="748" t="s">
        <v>47</v>
      </c>
      <c r="J3" s="359"/>
      <c r="M3" s="157"/>
    </row>
    <row r="4" spans="1:18" x14ac:dyDescent="0.2">
      <c r="A4" s="317"/>
      <c r="B4" s="462" t="s">
        <v>640</v>
      </c>
      <c r="C4" s="319"/>
      <c r="D4" s="320"/>
      <c r="E4" s="336" t="s">
        <v>871</v>
      </c>
      <c r="F4" s="335">
        <f>-CostReim!D6-CostReim!D7</f>
        <v>-3155516.44</v>
      </c>
      <c r="G4" s="322"/>
      <c r="H4" s="324"/>
      <c r="I4" s="331">
        <f>'Sched-E'!C3</f>
        <v>15781782.840000002</v>
      </c>
      <c r="J4" s="323"/>
      <c r="K4" s="159" t="s">
        <v>872</v>
      </c>
      <c r="M4" s="157"/>
      <c r="N4" s="157"/>
      <c r="O4" s="157"/>
      <c r="Q4" s="157"/>
      <c r="R4" s="157"/>
    </row>
    <row r="5" spans="1:18" x14ac:dyDescent="0.2">
      <c r="A5" s="635" t="s">
        <v>629</v>
      </c>
      <c r="B5" s="318"/>
      <c r="C5" s="319"/>
      <c r="D5" s="320"/>
      <c r="E5" s="322"/>
      <c r="F5" s="322"/>
      <c r="G5" s="322"/>
      <c r="H5" s="324"/>
      <c r="I5" s="638" t="s">
        <v>138</v>
      </c>
      <c r="J5" s="323"/>
      <c r="M5" s="157"/>
      <c r="N5" s="157"/>
      <c r="O5" s="157"/>
      <c r="Q5" s="157"/>
      <c r="R5" s="157"/>
    </row>
    <row r="6" spans="1:18" x14ac:dyDescent="0.2">
      <c r="A6" s="317"/>
      <c r="B6" s="318"/>
      <c r="C6" s="319"/>
      <c r="D6" s="320"/>
      <c r="E6" s="322"/>
      <c r="F6" s="322"/>
      <c r="G6" s="322"/>
      <c r="H6" s="325">
        <f>G7/$G$41</f>
        <v>0.84192242448125498</v>
      </c>
      <c r="I6" s="326">
        <f>SUM($I$4*H6)</f>
        <v>13287036.871289467</v>
      </c>
      <c r="J6" s="323"/>
      <c r="K6" s="327"/>
      <c r="M6" s="157"/>
      <c r="N6" s="157"/>
      <c r="O6" s="157"/>
      <c r="Q6" s="157"/>
      <c r="R6" s="157"/>
    </row>
    <row r="7" spans="1:18" x14ac:dyDescent="0.2">
      <c r="A7" s="328"/>
      <c r="B7" s="329" t="s">
        <v>92</v>
      </c>
      <c r="C7" s="265"/>
      <c r="D7" s="194"/>
      <c r="E7" s="301"/>
      <c r="F7" s="193"/>
      <c r="G7" s="330">
        <f>SUM(F4:F33)</f>
        <v>280328187.45604718</v>
      </c>
      <c r="H7" s="193"/>
      <c r="I7" s="193"/>
      <c r="J7" s="331">
        <f>SUM(I6+G7)</f>
        <v>293615224.32733667</v>
      </c>
      <c r="K7" s="327"/>
      <c r="M7" s="157"/>
      <c r="N7" s="157"/>
      <c r="O7" s="157"/>
      <c r="Q7" s="157"/>
      <c r="R7" s="157"/>
    </row>
    <row r="8" spans="1:18" x14ac:dyDescent="0.2">
      <c r="A8" s="328"/>
      <c r="B8" s="329"/>
      <c r="C8" s="462" t="s">
        <v>630</v>
      </c>
      <c r="D8" s="332"/>
      <c r="E8" s="321"/>
      <c r="F8" s="826">
        <f>'Sched-B1'!E17+'Sched-D1'!F661+'Sched-D2'!F141+CostReim!D20+CostReim!D25+CostReim!D30</f>
        <v>198851085.80000004</v>
      </c>
      <c r="G8" s="330"/>
      <c r="H8" s="333"/>
      <c r="I8" s="334"/>
      <c r="J8" s="331"/>
      <c r="K8" s="626"/>
      <c r="M8" s="157"/>
      <c r="N8" s="157"/>
      <c r="O8" s="157"/>
      <c r="Q8" s="157"/>
      <c r="R8" s="157"/>
    </row>
    <row r="9" spans="1:18" x14ac:dyDescent="0.2">
      <c r="A9" s="328"/>
      <c r="B9" s="329"/>
      <c r="C9" s="897" t="s">
        <v>865</v>
      </c>
      <c r="D9" s="898"/>
      <c r="E9" s="301" t="s">
        <v>593</v>
      </c>
      <c r="F9" s="335">
        <f>-CostReim!D25</f>
        <v>-285603.51</v>
      </c>
      <c r="G9" s="330"/>
      <c r="H9" s="333"/>
      <c r="I9" s="333"/>
      <c r="J9" s="331"/>
      <c r="K9" s="447"/>
      <c r="L9" s="447"/>
      <c r="M9" s="157"/>
      <c r="N9" s="157"/>
      <c r="O9" s="157"/>
      <c r="Q9" s="157"/>
      <c r="R9" s="157"/>
    </row>
    <row r="10" spans="1:18" x14ac:dyDescent="0.2">
      <c r="A10" s="328"/>
      <c r="B10" s="329"/>
      <c r="C10" s="897" t="s">
        <v>728</v>
      </c>
      <c r="D10" s="898"/>
      <c r="E10" s="301" t="s">
        <v>595</v>
      </c>
      <c r="F10" s="335"/>
      <c r="G10" s="330"/>
      <c r="H10" s="333"/>
      <c r="I10" s="326"/>
      <c r="J10" s="331"/>
      <c r="K10" s="447"/>
      <c r="L10" s="447"/>
      <c r="M10" s="157"/>
      <c r="N10" s="157"/>
      <c r="O10" s="157"/>
      <c r="Q10" s="157"/>
      <c r="R10" s="157"/>
    </row>
    <row r="11" spans="1:18" x14ac:dyDescent="0.2">
      <c r="A11" s="328"/>
      <c r="B11" s="329"/>
      <c r="C11" s="897" t="s">
        <v>858</v>
      </c>
      <c r="D11" s="898"/>
      <c r="E11" s="301" t="s">
        <v>859</v>
      </c>
      <c r="F11" s="335">
        <f>-CostReim!D29</f>
        <v>-23194.9</v>
      </c>
      <c r="G11" s="330"/>
      <c r="H11" s="333"/>
      <c r="I11" s="326"/>
      <c r="J11" s="331"/>
      <c r="K11" s="625"/>
      <c r="L11" s="447"/>
      <c r="M11" s="157"/>
      <c r="N11" s="157"/>
      <c r="O11" s="157"/>
      <c r="Q11" s="157"/>
      <c r="R11" s="157"/>
    </row>
    <row r="12" spans="1:18" x14ac:dyDescent="0.2">
      <c r="A12" s="328"/>
      <c r="B12" s="329"/>
      <c r="C12" s="897" t="s">
        <v>669</v>
      </c>
      <c r="D12" s="898"/>
      <c r="E12" s="301" t="s">
        <v>670</v>
      </c>
      <c r="F12" s="335"/>
      <c r="G12" s="330"/>
      <c r="H12" s="333"/>
      <c r="I12" s="326"/>
      <c r="J12" s="331"/>
      <c r="K12" s="625"/>
      <c r="L12" s="447"/>
      <c r="M12" s="157"/>
      <c r="N12" s="157"/>
      <c r="O12" s="157"/>
      <c r="Q12" s="157"/>
      <c r="R12" s="157"/>
    </row>
    <row r="13" spans="1:18" x14ac:dyDescent="0.2">
      <c r="A13" s="328"/>
      <c r="B13" s="329"/>
      <c r="C13" s="897" t="s">
        <v>867</v>
      </c>
      <c r="D13" s="898"/>
      <c r="E13" s="301" t="s">
        <v>866</v>
      </c>
      <c r="F13" s="335">
        <f>-CostReim!D20-CostReim!D30</f>
        <v>-90806.83</v>
      </c>
      <c r="G13" s="330"/>
      <c r="H13" s="333"/>
      <c r="I13" s="326"/>
      <c r="J13" s="331"/>
      <c r="K13" s="447"/>
      <c r="L13" s="447"/>
      <c r="M13" s="157"/>
      <c r="N13" s="157"/>
      <c r="O13" s="157"/>
      <c r="Q13" s="157"/>
      <c r="R13" s="157"/>
    </row>
    <row r="14" spans="1:18" x14ac:dyDescent="0.2">
      <c r="A14" s="328"/>
      <c r="B14" s="265"/>
      <c r="C14" s="462" t="s">
        <v>631</v>
      </c>
      <c r="D14" s="332"/>
      <c r="E14" s="336" t="s">
        <v>596</v>
      </c>
      <c r="F14" s="826">
        <f>'Sched-D2'!F31+'Sched-D2'!H30</f>
        <v>1171938.0499999998</v>
      </c>
      <c r="G14" s="330"/>
      <c r="H14" s="333"/>
      <c r="I14" s="334"/>
      <c r="J14" s="331"/>
      <c r="K14" s="447"/>
      <c r="L14" s="447"/>
      <c r="M14" s="157"/>
      <c r="N14" s="157"/>
      <c r="O14" s="157"/>
      <c r="Q14" s="157"/>
      <c r="R14" s="157"/>
    </row>
    <row r="15" spans="1:18" x14ac:dyDescent="0.2">
      <c r="A15" s="328"/>
      <c r="B15" s="265"/>
      <c r="C15" s="897" t="s">
        <v>862</v>
      </c>
      <c r="D15" s="898"/>
      <c r="E15" s="336"/>
      <c r="F15" s="826">
        <f>-CostReim!D9</f>
        <v>-93115.19</v>
      </c>
      <c r="G15" s="330"/>
      <c r="H15" s="333"/>
      <c r="I15" s="334"/>
      <c r="J15" s="331"/>
      <c r="K15" s="447"/>
      <c r="L15" s="447"/>
      <c r="M15" s="157"/>
      <c r="N15" s="157"/>
      <c r="O15" s="157"/>
      <c r="Q15" s="157"/>
      <c r="R15" s="157"/>
    </row>
    <row r="16" spans="1:18" x14ac:dyDescent="0.2">
      <c r="A16" s="328"/>
      <c r="B16" s="462" t="s">
        <v>633</v>
      </c>
      <c r="D16" s="332"/>
      <c r="E16" s="624" t="s">
        <v>581</v>
      </c>
      <c r="F16" s="826">
        <f>'Sched-D2'!F49+'Sched-D2'!H48</f>
        <v>69776361.979999989</v>
      </c>
      <c r="G16" s="330"/>
      <c r="H16" s="333"/>
      <c r="I16" s="334"/>
      <c r="J16" s="331"/>
      <c r="L16" s="447"/>
      <c r="M16" s="157"/>
      <c r="N16" s="157"/>
      <c r="O16" s="157"/>
      <c r="Q16" s="157"/>
      <c r="R16" s="157"/>
    </row>
    <row r="17" spans="1:18" x14ac:dyDescent="0.2">
      <c r="A17" s="328"/>
      <c r="B17" s="265"/>
      <c r="C17" s="897" t="s">
        <v>877</v>
      </c>
      <c r="D17" s="898"/>
      <c r="E17" s="336" t="s">
        <v>849</v>
      </c>
      <c r="F17" s="826">
        <f>-CostReim!D10</f>
        <v>-3200000</v>
      </c>
      <c r="G17" s="330"/>
      <c r="H17" s="333"/>
      <c r="I17" s="334"/>
      <c r="J17" s="331"/>
      <c r="K17" s="447"/>
      <c r="L17" s="447"/>
      <c r="M17" s="157"/>
      <c r="N17" s="157"/>
      <c r="O17" s="157"/>
      <c r="Q17" s="157"/>
      <c r="R17" s="157"/>
    </row>
    <row r="18" spans="1:18" x14ac:dyDescent="0.2">
      <c r="A18" s="328"/>
      <c r="B18" s="329"/>
      <c r="C18" s="897" t="s">
        <v>875</v>
      </c>
      <c r="D18" s="898"/>
      <c r="E18" s="301" t="s">
        <v>585</v>
      </c>
      <c r="F18" s="335">
        <f>-CostReim!D11</f>
        <v>-135770</v>
      </c>
      <c r="G18" s="330"/>
      <c r="H18" s="333"/>
      <c r="I18" s="334"/>
      <c r="J18" s="331"/>
      <c r="L18" s="447"/>
      <c r="M18" s="157"/>
      <c r="N18" s="157"/>
      <c r="O18" s="157"/>
      <c r="Q18" s="157"/>
      <c r="R18" s="157"/>
    </row>
    <row r="19" spans="1:18" x14ac:dyDescent="0.2">
      <c r="A19" s="328"/>
      <c r="B19" s="329"/>
      <c r="C19" s="897" t="s">
        <v>562</v>
      </c>
      <c r="D19" s="898"/>
      <c r="E19" s="301" t="s">
        <v>584</v>
      </c>
      <c r="F19" s="335">
        <f>-CostReim!D13</f>
        <v>-52400</v>
      </c>
      <c r="G19" s="330"/>
      <c r="H19" s="333"/>
      <c r="I19" s="334"/>
      <c r="J19" s="331"/>
      <c r="L19" s="447"/>
      <c r="M19" s="157"/>
      <c r="N19" s="157"/>
      <c r="O19" s="157"/>
      <c r="Q19" s="157"/>
      <c r="R19" s="157"/>
    </row>
    <row r="20" spans="1:18" x14ac:dyDescent="0.2">
      <c r="A20" s="328"/>
      <c r="B20" s="329"/>
      <c r="C20" s="897" t="s">
        <v>873</v>
      </c>
      <c r="D20" s="898"/>
      <c r="E20" s="301" t="s">
        <v>585</v>
      </c>
      <c r="F20" s="335">
        <f>-CostReim!D12</f>
        <v>-106428.69</v>
      </c>
      <c r="G20" s="330"/>
      <c r="H20" s="333"/>
      <c r="I20" s="334"/>
      <c r="J20" s="331"/>
      <c r="L20" s="447"/>
      <c r="M20" s="157"/>
      <c r="N20" s="157"/>
      <c r="O20" s="157"/>
      <c r="Q20" s="157"/>
      <c r="R20" s="157"/>
    </row>
    <row r="21" spans="1:18" x14ac:dyDescent="0.2">
      <c r="A21" s="328"/>
      <c r="B21" s="462" t="s">
        <v>632</v>
      </c>
      <c r="D21" s="332"/>
      <c r="E21" s="624" t="s">
        <v>611</v>
      </c>
      <c r="F21" s="826">
        <f>'Sched-D2'!F67+'Sched-D2'!H66-'Sched-D2'!E63</f>
        <v>1337281.44</v>
      </c>
      <c r="G21" s="330"/>
      <c r="H21" s="333"/>
      <c r="I21" s="334"/>
      <c r="J21" s="331"/>
      <c r="K21" s="159" t="s">
        <v>622</v>
      </c>
      <c r="L21" s="447"/>
      <c r="M21" s="157"/>
      <c r="N21" s="157"/>
      <c r="O21" s="157"/>
      <c r="Q21" s="157"/>
      <c r="R21" s="157"/>
    </row>
    <row r="22" spans="1:18" x14ac:dyDescent="0.2">
      <c r="A22" s="328"/>
      <c r="B22" s="329"/>
      <c r="C22" s="897" t="s">
        <v>645</v>
      </c>
      <c r="D22" s="898"/>
      <c r="E22" s="301" t="s">
        <v>588</v>
      </c>
      <c r="F22" s="335">
        <f>-CostReim!D14</f>
        <v>-42916</v>
      </c>
      <c r="G22" s="330"/>
      <c r="H22" s="333"/>
      <c r="I22" s="334"/>
      <c r="J22" s="331"/>
      <c r="L22" s="447"/>
      <c r="M22" s="157"/>
      <c r="N22" s="157"/>
      <c r="O22" s="157"/>
      <c r="Q22" s="157"/>
      <c r="R22" s="157"/>
    </row>
    <row r="23" spans="1:18" x14ac:dyDescent="0.2">
      <c r="A23" s="328"/>
      <c r="B23" s="329"/>
      <c r="C23" s="897" t="s">
        <v>754</v>
      </c>
      <c r="D23" s="898"/>
      <c r="E23" s="301" t="s">
        <v>625</v>
      </c>
      <c r="F23" s="335">
        <f>'Sched-D2'!E63</f>
        <v>0</v>
      </c>
      <c r="G23" s="330"/>
      <c r="H23" s="333"/>
      <c r="I23" s="334"/>
      <c r="J23" s="331"/>
      <c r="K23" s="159" t="s">
        <v>774</v>
      </c>
      <c r="L23" s="447"/>
      <c r="M23" s="157"/>
      <c r="N23" s="157"/>
      <c r="O23" s="157"/>
      <c r="Q23" s="157"/>
      <c r="R23" s="157"/>
    </row>
    <row r="24" spans="1:18" x14ac:dyDescent="0.2">
      <c r="A24" s="328"/>
      <c r="B24" s="318" t="s">
        <v>52</v>
      </c>
      <c r="D24" s="332"/>
      <c r="E24" s="301" t="s">
        <v>597</v>
      </c>
      <c r="F24" s="826">
        <f>'Sched-D2'!F77</f>
        <v>1644257.3900000001</v>
      </c>
      <c r="G24" s="330"/>
      <c r="H24" s="333"/>
      <c r="I24" s="334"/>
      <c r="J24" s="331"/>
      <c r="L24" s="447"/>
      <c r="M24" s="157"/>
      <c r="N24" s="157"/>
      <c r="O24" s="157"/>
      <c r="P24" s="157"/>
      <c r="Q24" s="157"/>
      <c r="R24" s="157"/>
    </row>
    <row r="25" spans="1:18" x14ac:dyDescent="0.2">
      <c r="A25" s="328"/>
      <c r="B25" s="329"/>
      <c r="C25" s="897" t="s">
        <v>646</v>
      </c>
      <c r="D25" s="898"/>
      <c r="E25" s="301" t="s">
        <v>597</v>
      </c>
      <c r="F25" s="335">
        <v>0</v>
      </c>
      <c r="G25" s="330"/>
      <c r="H25" s="333"/>
      <c r="I25" s="334"/>
      <c r="J25" s="331"/>
      <c r="K25" s="159"/>
      <c r="L25" s="447"/>
      <c r="M25" s="157"/>
      <c r="N25" s="157"/>
      <c r="O25" s="157"/>
      <c r="Q25" s="157"/>
      <c r="R25" s="157"/>
    </row>
    <row r="26" spans="1:18" x14ac:dyDescent="0.2">
      <c r="A26" s="328"/>
      <c r="B26" s="332" t="s">
        <v>379</v>
      </c>
      <c r="C26" s="445"/>
      <c r="E26" s="301" t="s">
        <v>598</v>
      </c>
      <c r="F26" s="335">
        <f>'Sched-D2'!F17</f>
        <v>0</v>
      </c>
      <c r="G26" s="330"/>
      <c r="H26" s="330"/>
      <c r="I26" s="330"/>
      <c r="J26" s="337"/>
      <c r="L26" s="447"/>
      <c r="Q26" s="157"/>
      <c r="R26" s="157"/>
    </row>
    <row r="27" spans="1:18" x14ac:dyDescent="0.2">
      <c r="A27" s="328"/>
      <c r="B27" s="462" t="s">
        <v>262</v>
      </c>
      <c r="C27" s="265"/>
      <c r="D27" s="332"/>
      <c r="E27" s="301" t="s">
        <v>599</v>
      </c>
      <c r="F27" s="826">
        <f>'Sched-D2'!F89</f>
        <v>1187694.04</v>
      </c>
      <c r="G27" s="330"/>
      <c r="H27" s="333"/>
      <c r="I27" s="334"/>
      <c r="J27" s="331"/>
      <c r="L27" s="447"/>
      <c r="M27" s="157"/>
      <c r="N27" s="157"/>
    </row>
    <row r="28" spans="1:18" x14ac:dyDescent="0.2">
      <c r="A28" s="328"/>
      <c r="B28" s="462" t="s">
        <v>642</v>
      </c>
      <c r="D28" s="332"/>
      <c r="E28" s="301" t="s">
        <v>590</v>
      </c>
      <c r="F28" s="826">
        <f>'Sched-D2'!F102+'Sched-D2'!H101</f>
        <v>2884554.9499999993</v>
      </c>
      <c r="G28" s="330"/>
      <c r="H28" s="333"/>
      <c r="I28" s="334"/>
      <c r="J28" s="331"/>
      <c r="K28" s="626" t="s">
        <v>600</v>
      </c>
      <c r="L28" s="447"/>
      <c r="M28" s="157"/>
      <c r="N28" s="157"/>
    </row>
    <row r="29" spans="1:18" x14ac:dyDescent="0.2">
      <c r="A29" s="328"/>
      <c r="B29" s="265"/>
      <c r="C29" s="632" t="s">
        <v>647</v>
      </c>
      <c r="D29" s="332"/>
      <c r="E29" s="301"/>
      <c r="F29" s="335">
        <f>-CostReim!D17</f>
        <v>-140000</v>
      </c>
      <c r="G29" s="330"/>
      <c r="H29" s="333"/>
      <c r="I29" s="334"/>
      <c r="J29" s="331"/>
      <c r="L29" s="447"/>
    </row>
    <row r="30" spans="1:18" x14ac:dyDescent="0.2">
      <c r="A30" s="328"/>
      <c r="B30" s="318" t="s">
        <v>263</v>
      </c>
      <c r="C30" s="318"/>
      <c r="D30" s="332"/>
      <c r="E30" s="301" t="s">
        <v>601</v>
      </c>
      <c r="F30" s="335">
        <f>'Sched-D2'!F108</f>
        <v>531847.71</v>
      </c>
      <c r="G30" s="330"/>
      <c r="H30" s="333"/>
      <c r="I30" s="334"/>
      <c r="J30" s="331"/>
      <c r="L30" s="447"/>
    </row>
    <row r="31" spans="1:18" x14ac:dyDescent="0.2">
      <c r="A31" s="328"/>
      <c r="B31" s="462" t="s">
        <v>641</v>
      </c>
      <c r="C31" s="265"/>
      <c r="D31" s="332"/>
      <c r="E31" s="301" t="s">
        <v>602</v>
      </c>
      <c r="F31" s="335">
        <f>'Sched-D2'!F133+'Sched-D2'!H132</f>
        <v>801844.51</v>
      </c>
      <c r="G31" s="330"/>
      <c r="H31" s="333"/>
      <c r="I31" s="334"/>
      <c r="J31" s="331"/>
      <c r="K31" s="447"/>
      <c r="L31" s="447"/>
    </row>
    <row r="32" spans="1:18" x14ac:dyDescent="0.2">
      <c r="A32" s="328"/>
      <c r="B32" s="462"/>
      <c r="C32" s="632" t="s">
        <v>895</v>
      </c>
      <c r="D32" s="332"/>
      <c r="E32" s="301"/>
      <c r="F32" s="335">
        <v>-366548.94</v>
      </c>
      <c r="G32" s="330"/>
      <c r="H32" s="333"/>
      <c r="I32" s="334"/>
      <c r="J32" s="331"/>
      <c r="K32" s="447" t="s">
        <v>896</v>
      </c>
      <c r="L32" s="447"/>
    </row>
    <row r="33" spans="1:12" x14ac:dyDescent="0.2">
      <c r="A33" s="328"/>
      <c r="B33" s="462" t="s">
        <v>626</v>
      </c>
      <c r="C33" s="265"/>
      <c r="D33" s="332"/>
      <c r="E33" s="321"/>
      <c r="F33" s="826">
        <f>'Sched-F-G'!D41</f>
        <v>9833622.0860471986</v>
      </c>
      <c r="G33" s="330"/>
      <c r="H33" s="333"/>
      <c r="I33" s="334"/>
      <c r="J33" s="331"/>
      <c r="K33" s="447"/>
    </row>
    <row r="34" spans="1:12" x14ac:dyDescent="0.2">
      <c r="A34" s="328"/>
      <c r="B34" s="462" t="s">
        <v>667</v>
      </c>
      <c r="C34" s="639"/>
      <c r="D34" s="194"/>
      <c r="E34" s="301" t="s">
        <v>666</v>
      </c>
      <c r="F34" s="330"/>
      <c r="G34" s="330">
        <v>10116253.310000001</v>
      </c>
      <c r="H34" s="325">
        <f t="shared" ref="H34" si="0">G34/$G$41</f>
        <v>3.0382604727386263E-2</v>
      </c>
      <c r="I34" s="334">
        <f>$I$4*H34</f>
        <v>479491.66992116743</v>
      </c>
      <c r="J34" s="331">
        <f>SUM(I34+G34)</f>
        <v>10595744.979921168</v>
      </c>
    </row>
    <row r="35" spans="1:12" x14ac:dyDescent="0.2">
      <c r="A35" s="328"/>
      <c r="B35" s="462" t="s">
        <v>634</v>
      </c>
      <c r="C35" s="639"/>
      <c r="D35" s="194"/>
      <c r="E35" s="301" t="s">
        <v>603</v>
      </c>
      <c r="F35" s="330"/>
      <c r="G35" s="330">
        <v>6962125</v>
      </c>
      <c r="H35" s="325">
        <f t="shared" ref="H35:H40" si="1">G35/$G$41</f>
        <v>2.0909667389265293E-2</v>
      </c>
      <c r="I35" s="334">
        <f>$I$4*H35</f>
        <v>329991.82999401464</v>
      </c>
      <c r="J35" s="331">
        <f>SUM(I35+G35)</f>
        <v>7292116.8299940145</v>
      </c>
    </row>
    <row r="36" spans="1:12" x14ac:dyDescent="0.2">
      <c r="A36" s="328"/>
      <c r="B36" s="462" t="s">
        <v>635</v>
      </c>
      <c r="C36" s="265"/>
      <c r="D36" s="194"/>
      <c r="E36" s="301" t="s">
        <v>604</v>
      </c>
      <c r="F36" s="338"/>
      <c r="G36" s="330">
        <f>723306.69-15000</f>
        <v>708306.69</v>
      </c>
      <c r="H36" s="325">
        <f t="shared" si="1"/>
        <v>2.1272897710815936E-3</v>
      </c>
      <c r="I36" s="334">
        <f t="shared" ref="I36:I40" si="2">$I$4*H36</f>
        <v>33572.425204963023</v>
      </c>
      <c r="J36" s="331">
        <f t="shared" ref="J36:J40" si="3">SUM(I36+G36)</f>
        <v>741879.11520496302</v>
      </c>
      <c r="K36" s="447" t="s">
        <v>870</v>
      </c>
    </row>
    <row r="37" spans="1:12" x14ac:dyDescent="0.2">
      <c r="A37" s="328"/>
      <c r="B37" s="462" t="s">
        <v>636</v>
      </c>
      <c r="C37" s="639"/>
      <c r="D37" s="194"/>
      <c r="E37" s="301" t="s">
        <v>605</v>
      </c>
      <c r="F37" s="338"/>
      <c r="G37" s="330">
        <v>15835724.83</v>
      </c>
      <c r="H37" s="325">
        <f t="shared" si="1"/>
        <v>4.756015427232773E-2</v>
      </c>
      <c r="I37" s="334">
        <f t="shared" si="2"/>
        <v>750584.02656277455</v>
      </c>
      <c r="J37" s="331">
        <f t="shared" si="3"/>
        <v>16586308.856562775</v>
      </c>
      <c r="K37" s="625"/>
      <c r="L37" s="159"/>
    </row>
    <row r="38" spans="1:12" x14ac:dyDescent="0.2">
      <c r="A38" s="328"/>
      <c r="B38" s="462" t="s">
        <v>637</v>
      </c>
      <c r="C38" s="265"/>
      <c r="D38" s="194"/>
      <c r="E38" s="301" t="s">
        <v>606</v>
      </c>
      <c r="F38" s="330"/>
      <c r="G38" s="330">
        <v>257000</v>
      </c>
      <c r="H38" s="325">
        <f t="shared" si="1"/>
        <v>7.7185981565128182E-4</v>
      </c>
      <c r="I38" s="334">
        <f t="shared" si="2"/>
        <v>12181.323993530965</v>
      </c>
      <c r="J38" s="331">
        <f t="shared" si="3"/>
        <v>269181.32399353094</v>
      </c>
    </row>
    <row r="39" spans="1:12" x14ac:dyDescent="0.2">
      <c r="A39" s="328"/>
      <c r="B39" s="462" t="s">
        <v>127</v>
      </c>
      <c r="C39" s="265"/>
      <c r="D39" s="194"/>
      <c r="E39" s="301" t="s">
        <v>607</v>
      </c>
      <c r="F39" s="330"/>
      <c r="G39" s="330">
        <v>2355227.17</v>
      </c>
      <c r="H39" s="325">
        <f t="shared" si="1"/>
        <v>7.073561125498405E-3</v>
      </c>
      <c r="I39" s="334">
        <f t="shared" si="2"/>
        <v>111633.40558808182</v>
      </c>
      <c r="J39" s="331">
        <f>SUM(I39+G39)</f>
        <v>2466860.575588082</v>
      </c>
      <c r="K39" s="625"/>
      <c r="L39" s="159"/>
    </row>
    <row r="40" spans="1:12" ht="13.5" thickBot="1" x14ac:dyDescent="0.25">
      <c r="A40" s="328"/>
      <c r="B40" s="462" t="s">
        <v>235</v>
      </c>
      <c r="D40" s="194"/>
      <c r="E40" s="301" t="s">
        <v>608</v>
      </c>
      <c r="F40" s="330"/>
      <c r="G40" s="330">
        <v>16399191.17</v>
      </c>
      <c r="H40" s="325">
        <f t="shared" si="1"/>
        <v>4.925243841753435E-2</v>
      </c>
      <c r="I40" s="334">
        <f t="shared" si="2"/>
        <v>777291.2874460005</v>
      </c>
      <c r="J40" s="331">
        <f t="shared" si="3"/>
        <v>17176482.457446001</v>
      </c>
    </row>
    <row r="41" spans="1:12" s="159" customFormat="1" ht="16.5" customHeight="1" thickBot="1" x14ac:dyDescent="0.25">
      <c r="A41" s="900" t="s">
        <v>638</v>
      </c>
      <c r="B41" s="901"/>
      <c r="C41" s="901"/>
      <c r="D41" s="364"/>
      <c r="E41" s="365"/>
      <c r="F41" s="366"/>
      <c r="G41" s="366">
        <f>SUM(G3:G40)</f>
        <v>332962015.62604719</v>
      </c>
      <c r="H41" s="367">
        <f>SUM(H3:H40)</f>
        <v>0.99999999999999989</v>
      </c>
      <c r="I41" s="368">
        <f>SUM(I6:I40)</f>
        <v>15781782.839999998</v>
      </c>
      <c r="J41" s="764">
        <f>SUM(J7:J40)</f>
        <v>348743798.46604723</v>
      </c>
      <c r="K41" s="369"/>
      <c r="L41" s="448"/>
    </row>
    <row r="42" spans="1:12" ht="16.5" thickTop="1" x14ac:dyDescent="0.25">
      <c r="A42" s="328"/>
      <c r="B42" s="265"/>
      <c r="C42" s="166" t="s">
        <v>643</v>
      </c>
      <c r="D42" s="332"/>
      <c r="E42" s="321"/>
      <c r="F42" s="195"/>
      <c r="G42" s="301"/>
      <c r="H42" s="325"/>
      <c r="I42" s="195"/>
      <c r="J42" s="337"/>
    </row>
    <row r="43" spans="1:12" x14ac:dyDescent="0.2">
      <c r="A43" s="328"/>
      <c r="B43" s="265"/>
      <c r="C43" s="462" t="s">
        <v>644</v>
      </c>
      <c r="D43" s="332"/>
      <c r="E43" s="339"/>
      <c r="F43" s="837">
        <f>346250927.94+366548.94</f>
        <v>346617476.88</v>
      </c>
      <c r="G43" s="330"/>
      <c r="H43" s="330"/>
      <c r="I43" s="195"/>
      <c r="J43" s="337"/>
      <c r="K43" s="448" t="s">
        <v>894</v>
      </c>
    </row>
    <row r="44" spans="1:12" x14ac:dyDescent="0.2">
      <c r="A44" s="328"/>
      <c r="B44" s="265"/>
      <c r="C44" s="462" t="s">
        <v>623</v>
      </c>
      <c r="D44" s="332"/>
      <c r="E44" s="301"/>
      <c r="F44" s="330">
        <f>F33</f>
        <v>9833622.0860471986</v>
      </c>
      <c r="G44" s="330"/>
      <c r="H44" s="330"/>
      <c r="I44" s="195"/>
      <c r="J44" s="337"/>
    </row>
    <row r="45" spans="1:12" x14ac:dyDescent="0.2">
      <c r="A45" s="328"/>
      <c r="B45" s="265"/>
      <c r="C45" s="265"/>
      <c r="D45" s="194" t="s">
        <v>639</v>
      </c>
      <c r="E45" s="301" t="s">
        <v>609</v>
      </c>
      <c r="F45" s="335">
        <v>0</v>
      </c>
      <c r="G45" s="330"/>
      <c r="H45" s="330"/>
      <c r="I45" s="330"/>
      <c r="J45" s="337"/>
      <c r="K45" s="159" t="s">
        <v>854</v>
      </c>
    </row>
    <row r="46" spans="1:12" x14ac:dyDescent="0.2">
      <c r="A46" s="328"/>
      <c r="B46" s="265"/>
      <c r="C46" s="462" t="s">
        <v>141</v>
      </c>
      <c r="D46" s="633" t="s">
        <v>856</v>
      </c>
      <c r="E46" s="301" t="s">
        <v>574</v>
      </c>
      <c r="F46" s="335">
        <v>-2091826.65</v>
      </c>
      <c r="G46" s="330"/>
      <c r="H46" s="330"/>
      <c r="I46" s="330"/>
      <c r="J46" s="337"/>
      <c r="K46" s="113" t="s">
        <v>855</v>
      </c>
    </row>
    <row r="47" spans="1:12" x14ac:dyDescent="0.2">
      <c r="A47" s="328"/>
      <c r="B47" s="265"/>
      <c r="C47" s="462"/>
      <c r="D47" s="633" t="s">
        <v>857</v>
      </c>
      <c r="E47" s="301" t="s">
        <v>575</v>
      </c>
      <c r="F47" s="335">
        <v>-1063689.79</v>
      </c>
      <c r="G47" s="330"/>
      <c r="H47" s="330"/>
      <c r="I47" s="330"/>
      <c r="J47" s="337"/>
      <c r="K47" s="113" t="s">
        <v>855</v>
      </c>
    </row>
    <row r="48" spans="1:12" x14ac:dyDescent="0.2">
      <c r="A48" s="328"/>
      <c r="B48" s="265"/>
      <c r="C48" s="462"/>
      <c r="D48" s="803" t="s">
        <v>862</v>
      </c>
      <c r="E48" s="301" t="s">
        <v>863</v>
      </c>
      <c r="F48" s="335">
        <f>F15</f>
        <v>-93115.19</v>
      </c>
      <c r="G48" s="330"/>
      <c r="H48" s="330"/>
      <c r="I48" s="330"/>
      <c r="J48" s="337"/>
    </row>
    <row r="49" spans="1:12" x14ac:dyDescent="0.2">
      <c r="A49" s="328"/>
      <c r="B49" s="265"/>
      <c r="C49" s="462"/>
      <c r="D49" s="633" t="s">
        <v>454</v>
      </c>
      <c r="E49" s="301" t="s">
        <v>590</v>
      </c>
      <c r="F49" s="335">
        <f>F29</f>
        <v>-140000</v>
      </c>
      <c r="G49" s="330"/>
      <c r="H49" s="330"/>
      <c r="I49" s="330"/>
      <c r="J49" s="337"/>
    </row>
    <row r="50" spans="1:12" x14ac:dyDescent="0.2">
      <c r="A50" s="328"/>
      <c r="B50" s="265"/>
      <c r="C50" s="318"/>
      <c r="D50" s="633" t="s">
        <v>869</v>
      </c>
      <c r="E50" s="301" t="str">
        <f>E13</f>
        <v>JAMC /JYKC</v>
      </c>
      <c r="F50" s="335">
        <f>F13</f>
        <v>-90806.83</v>
      </c>
      <c r="G50" s="330"/>
      <c r="H50" s="330"/>
      <c r="I50" s="330"/>
      <c r="J50" s="337"/>
    </row>
    <row r="51" spans="1:12" x14ac:dyDescent="0.2">
      <c r="A51" s="328"/>
      <c r="B51" s="265"/>
      <c r="C51" s="318"/>
      <c r="D51" s="633" t="s">
        <v>868</v>
      </c>
      <c r="E51" s="301" t="s">
        <v>593</v>
      </c>
      <c r="F51" s="335">
        <f>F9</f>
        <v>-285603.51</v>
      </c>
      <c r="G51" s="330"/>
      <c r="H51" s="330"/>
      <c r="I51" s="330"/>
      <c r="J51" s="337"/>
    </row>
    <row r="52" spans="1:12" x14ac:dyDescent="0.2">
      <c r="A52" s="328"/>
      <c r="B52" s="265"/>
      <c r="C52" s="318"/>
      <c r="D52" s="633" t="s">
        <v>860</v>
      </c>
      <c r="E52" s="301" t="s">
        <v>859</v>
      </c>
      <c r="F52" s="335">
        <f>F11</f>
        <v>-23194.9</v>
      </c>
      <c r="G52" s="330"/>
      <c r="H52" s="330"/>
      <c r="I52" s="330"/>
      <c r="J52" s="337"/>
    </row>
    <row r="53" spans="1:12" x14ac:dyDescent="0.2">
      <c r="A53" s="328"/>
      <c r="B53" s="265"/>
      <c r="C53" s="318"/>
      <c r="D53" s="633" t="s">
        <v>664</v>
      </c>
      <c r="E53" s="301" t="s">
        <v>595</v>
      </c>
      <c r="F53" s="335">
        <f>F10</f>
        <v>0</v>
      </c>
      <c r="G53" s="330"/>
      <c r="H53" s="330"/>
      <c r="I53" s="330"/>
      <c r="J53" s="337"/>
      <c r="L53" s="447"/>
    </row>
    <row r="54" spans="1:12" x14ac:dyDescent="0.2">
      <c r="A54" s="328"/>
      <c r="B54" s="265"/>
      <c r="C54" s="318"/>
      <c r="D54" s="633" t="s">
        <v>671</v>
      </c>
      <c r="E54" s="301" t="s">
        <v>670</v>
      </c>
      <c r="F54" s="335">
        <f>F12</f>
        <v>0</v>
      </c>
      <c r="G54" s="330"/>
      <c r="H54" s="330"/>
      <c r="I54" s="330"/>
      <c r="J54" s="337"/>
    </row>
    <row r="55" spans="1:12" x14ac:dyDescent="0.2">
      <c r="A55" s="328"/>
      <c r="B55" s="265"/>
      <c r="C55" s="265"/>
      <c r="D55" s="633" t="s">
        <v>878</v>
      </c>
      <c r="E55" s="301" t="s">
        <v>849</v>
      </c>
      <c r="F55" s="335">
        <f>F17</f>
        <v>-3200000</v>
      </c>
      <c r="G55" s="330"/>
      <c r="H55" s="330"/>
      <c r="I55" s="330"/>
      <c r="J55" s="337"/>
      <c r="K55" s="113" t="s">
        <v>855</v>
      </c>
    </row>
    <row r="56" spans="1:12" x14ac:dyDescent="0.2">
      <c r="A56" s="328"/>
      <c r="B56" s="265"/>
      <c r="C56" s="265"/>
      <c r="D56" s="633" t="s">
        <v>744</v>
      </c>
      <c r="E56" s="301" t="s">
        <v>604</v>
      </c>
      <c r="F56" s="335">
        <f>-CostReim!D8</f>
        <v>-15000</v>
      </c>
      <c r="G56" s="330"/>
      <c r="H56" s="330"/>
      <c r="I56" s="330"/>
      <c r="J56" s="337"/>
      <c r="K56" s="447" t="s">
        <v>851</v>
      </c>
    </row>
    <row r="57" spans="1:12" x14ac:dyDescent="0.2">
      <c r="A57" s="328"/>
      <c r="B57" s="265"/>
      <c r="C57" s="265"/>
      <c r="D57" s="633" t="s">
        <v>624</v>
      </c>
      <c r="E57" s="301" t="s">
        <v>625</v>
      </c>
      <c r="F57" s="335">
        <v>0</v>
      </c>
      <c r="G57" s="330"/>
      <c r="H57" s="330"/>
      <c r="I57" s="330"/>
      <c r="J57" s="337"/>
      <c r="K57" s="625" t="s">
        <v>852</v>
      </c>
      <c r="L57" s="447"/>
    </row>
    <row r="58" spans="1:12" x14ac:dyDescent="0.2">
      <c r="A58" s="328"/>
      <c r="B58" s="265"/>
      <c r="C58" s="265"/>
      <c r="D58" s="633" t="s">
        <v>876</v>
      </c>
      <c r="E58" s="301" t="s">
        <v>585</v>
      </c>
      <c r="F58" s="335">
        <f>F18</f>
        <v>-135770</v>
      </c>
      <c r="G58" s="330"/>
      <c r="H58" s="330"/>
      <c r="I58" s="330"/>
      <c r="J58" s="337"/>
      <c r="L58" s="447"/>
    </row>
    <row r="59" spans="1:12" x14ac:dyDescent="0.2">
      <c r="A59" s="328"/>
      <c r="B59" s="265"/>
      <c r="C59" s="265"/>
      <c r="D59" s="633" t="s">
        <v>627</v>
      </c>
      <c r="E59" s="301" t="s">
        <v>584</v>
      </c>
      <c r="F59" s="335">
        <f>F19</f>
        <v>-52400</v>
      </c>
      <c r="G59" s="330"/>
      <c r="H59" s="330"/>
      <c r="I59" s="330"/>
      <c r="J59" s="337"/>
    </row>
    <row r="60" spans="1:12" x14ac:dyDescent="0.2">
      <c r="A60" s="328"/>
      <c r="B60" s="265"/>
      <c r="C60" s="265"/>
      <c r="D60" s="633" t="s">
        <v>874</v>
      </c>
      <c r="E60" s="301" t="s">
        <v>585</v>
      </c>
      <c r="F60" s="335">
        <f>F20</f>
        <v>-106428.69</v>
      </c>
      <c r="G60" s="330"/>
      <c r="H60" s="330"/>
      <c r="I60" s="330"/>
      <c r="J60" s="337"/>
    </row>
    <row r="61" spans="1:12" x14ac:dyDescent="0.2">
      <c r="A61" s="328"/>
      <c r="B61" s="265"/>
      <c r="C61" s="265"/>
      <c r="D61" s="633" t="s">
        <v>610</v>
      </c>
      <c r="E61" s="301" t="s">
        <v>588</v>
      </c>
      <c r="F61" s="335">
        <f>F22</f>
        <v>-42916</v>
      </c>
      <c r="G61" s="330"/>
      <c r="H61" s="330"/>
      <c r="I61" s="330"/>
      <c r="J61" s="337"/>
      <c r="K61" s="447"/>
    </row>
    <row r="62" spans="1:12" x14ac:dyDescent="0.2">
      <c r="A62" s="699"/>
      <c r="B62" s="700"/>
      <c r="C62" s="700"/>
      <c r="D62" s="633" t="s">
        <v>758</v>
      </c>
      <c r="E62" s="701" t="s">
        <v>595</v>
      </c>
      <c r="F62" s="702">
        <v>0</v>
      </c>
      <c r="G62" s="703"/>
      <c r="H62" s="703"/>
      <c r="I62" s="703"/>
      <c r="J62" s="704"/>
      <c r="K62" s="447"/>
    </row>
    <row r="63" spans="1:12" x14ac:dyDescent="0.2">
      <c r="A63" s="699"/>
      <c r="B63" s="700"/>
      <c r="C63" s="700"/>
      <c r="D63" s="633" t="s">
        <v>755</v>
      </c>
      <c r="E63" s="701" t="s">
        <v>756</v>
      </c>
      <c r="F63" s="702">
        <f>-'Sched-D1'!H500</f>
        <v>0</v>
      </c>
      <c r="G63" s="703"/>
      <c r="H63" s="703"/>
      <c r="I63" s="703"/>
      <c r="J63" s="704"/>
      <c r="K63" s="625"/>
    </row>
    <row r="64" spans="1:12" x14ac:dyDescent="0.2">
      <c r="A64" s="699"/>
      <c r="B64" s="700"/>
      <c r="C64" s="700"/>
      <c r="D64" s="633" t="s">
        <v>898</v>
      </c>
      <c r="E64" s="701"/>
      <c r="F64" s="702">
        <f>F32</f>
        <v>-366548.94</v>
      </c>
      <c r="G64" s="703"/>
      <c r="H64" s="703"/>
      <c r="I64" s="703"/>
      <c r="J64" s="704"/>
      <c r="K64" s="625" t="s">
        <v>853</v>
      </c>
    </row>
    <row r="65" spans="1:11" ht="15.75" customHeight="1" thickBot="1" x14ac:dyDescent="0.25">
      <c r="A65" s="634" t="s">
        <v>638</v>
      </c>
      <c r="B65" s="363"/>
      <c r="C65" s="360" t="s">
        <v>0</v>
      </c>
      <c r="D65" s="361"/>
      <c r="E65" s="362"/>
      <c r="F65" s="763">
        <f>SUM(F43:F64)</f>
        <v>348743798.46604723</v>
      </c>
      <c r="G65" s="340"/>
      <c r="H65" s="340"/>
      <c r="I65" s="340"/>
      <c r="J65" s="341"/>
      <c r="K65" s="447"/>
    </row>
    <row r="66" spans="1:11" ht="13.5" thickBot="1" x14ac:dyDescent="0.25">
      <c r="A66" s="146"/>
      <c r="B66" s="146"/>
      <c r="C66" s="342"/>
      <c r="E66" s="342"/>
      <c r="G66" s="343"/>
      <c r="H66" s="344"/>
      <c r="I66" s="344"/>
      <c r="J66" s="345"/>
      <c r="K66" s="447"/>
    </row>
    <row r="67" spans="1:11" x14ac:dyDescent="0.2">
      <c r="F67" s="636">
        <f>F65-J41</f>
        <v>0</v>
      </c>
      <c r="G67" s="637" t="s">
        <v>568</v>
      </c>
      <c r="K67" s="447"/>
    </row>
    <row r="68" spans="1:11" x14ac:dyDescent="0.2">
      <c r="A68" s="266" t="s">
        <v>899</v>
      </c>
      <c r="K68" s="447"/>
    </row>
    <row r="69" spans="1:11" x14ac:dyDescent="0.2">
      <c r="K69" s="447"/>
    </row>
    <row r="70" spans="1:11" x14ac:dyDescent="0.2">
      <c r="F70" s="263"/>
      <c r="K70" s="447"/>
    </row>
    <row r="71" spans="1:11" x14ac:dyDescent="0.2">
      <c r="F71" s="346"/>
      <c r="K71" s="447"/>
    </row>
    <row r="72" spans="1:11" x14ac:dyDescent="0.2">
      <c r="F72" s="346"/>
      <c r="K72" s="447"/>
    </row>
    <row r="73" spans="1:11" x14ac:dyDescent="0.2">
      <c r="F73" s="346"/>
      <c r="K73" s="447"/>
    </row>
    <row r="74" spans="1:11" x14ac:dyDescent="0.2">
      <c r="F74" s="346"/>
      <c r="G74" s="348"/>
      <c r="J74" s="447"/>
      <c r="K74" s="447"/>
    </row>
    <row r="75" spans="1:11" x14ac:dyDescent="0.2">
      <c r="F75" s="346"/>
    </row>
    <row r="76" spans="1:11" x14ac:dyDescent="0.2">
      <c r="F76" s="347"/>
    </row>
    <row r="77" spans="1:11" x14ac:dyDescent="0.2">
      <c r="F77" s="347"/>
    </row>
    <row r="78" spans="1:11" x14ac:dyDescent="0.2">
      <c r="F78" s="347"/>
    </row>
    <row r="79" spans="1:11" x14ac:dyDescent="0.2">
      <c r="F79" s="347"/>
    </row>
    <row r="80" spans="1:11" x14ac:dyDescent="0.2">
      <c r="F80" s="347"/>
    </row>
    <row r="81" spans="6:7" x14ac:dyDescent="0.2">
      <c r="F81" s="347"/>
    </row>
    <row r="82" spans="6:7" x14ac:dyDescent="0.2">
      <c r="F82" s="347"/>
    </row>
    <row r="83" spans="6:7" x14ac:dyDescent="0.2">
      <c r="F83" s="347"/>
    </row>
    <row r="84" spans="6:7" x14ac:dyDescent="0.2">
      <c r="F84" s="347"/>
    </row>
    <row r="85" spans="6:7" x14ac:dyDescent="0.2">
      <c r="F85" s="347"/>
      <c r="G85" s="348"/>
    </row>
  </sheetData>
  <mergeCells count="17">
    <mergeCell ref="A41:C41"/>
    <mergeCell ref="F2:G2"/>
    <mergeCell ref="A2:C2"/>
    <mergeCell ref="C13:D13"/>
    <mergeCell ref="C20:D20"/>
    <mergeCell ref="C18:D18"/>
    <mergeCell ref="C9:D9"/>
    <mergeCell ref="C12:D12"/>
    <mergeCell ref="C25:D25"/>
    <mergeCell ref="C19:D19"/>
    <mergeCell ref="C23:D23"/>
    <mergeCell ref="C10:D10"/>
    <mergeCell ref="C11:D11"/>
    <mergeCell ref="C15:D15"/>
    <mergeCell ref="C17:D17"/>
    <mergeCell ref="A1:J1"/>
    <mergeCell ref="C22:D22"/>
  </mergeCells>
  <phoneticPr fontId="21" type="noConversion"/>
  <printOptions horizontalCentered="1"/>
  <pageMargins left="0" right="0" top="1.25" bottom="1" header="0.33" footer="0.5"/>
  <pageSetup orientation="landscape" r:id="rId1"/>
  <headerFooter alignWithMargins="0">
    <oddHeader>&amp;C&amp;"Arial,Bold"&amp;12DEPARTMENT OF CORRECTIONS
 COST OF CARE Year 2021
(Based on Fiscal Year 2020 Actuals)</oddHeader>
    <oddFooter>&amp;L&amp;8&amp;F &amp;A&amp;C&amp;8&amp;P of &amp;N&amp;R&amp;8&amp;D</oddFooter>
  </headerFooter>
  <rowBreaks count="1" manualBreakCount="1">
    <brk id="4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59999389629810485"/>
    <pageSetUpPr fitToPage="1"/>
  </sheetPr>
  <dimension ref="A1:J56"/>
  <sheetViews>
    <sheetView showGridLines="0" topLeftCell="A16" workbookViewId="0">
      <selection activeCell="E34" sqref="E34"/>
    </sheetView>
  </sheetViews>
  <sheetFormatPr defaultColWidth="9.140625" defaultRowHeight="12.75" x14ac:dyDescent="0.2"/>
  <cols>
    <col min="1" max="1" width="4.28515625" style="113" customWidth="1"/>
    <col min="2" max="2" width="27.28515625" style="113" customWidth="1"/>
    <col min="3" max="3" width="16.140625" style="113" customWidth="1"/>
    <col min="4" max="4" width="20.42578125" style="113" customWidth="1"/>
    <col min="5" max="5" width="18.28515625" style="113" bestFit="1" customWidth="1"/>
    <col min="6" max="6" width="19.85546875" style="113" bestFit="1" customWidth="1"/>
    <col min="7" max="7" width="14.140625" style="113" bestFit="1" customWidth="1"/>
    <col min="8" max="8" width="13.7109375" style="449" customWidth="1"/>
    <col min="9" max="9" width="10.5703125" style="113" bestFit="1" customWidth="1"/>
    <col min="10" max="10" width="13.85546875" style="113" customWidth="1"/>
    <col min="11" max="11" width="12.42578125" style="113" bestFit="1" customWidth="1"/>
    <col min="12" max="12" width="10.28515625" style="113" bestFit="1" customWidth="1"/>
    <col min="13" max="16384" width="9.140625" style="113"/>
  </cols>
  <sheetData>
    <row r="1" spans="1:9" ht="30" customHeight="1" x14ac:dyDescent="0.2">
      <c r="A1" s="905" t="s">
        <v>147</v>
      </c>
      <c r="B1" s="905"/>
      <c r="C1" s="905"/>
      <c r="D1" s="905"/>
      <c r="E1" s="905"/>
      <c r="F1" s="905"/>
      <c r="G1" s="905"/>
      <c r="H1" s="455"/>
    </row>
    <row r="2" spans="1:9" ht="28.5" customHeight="1" thickBot="1" x14ac:dyDescent="0.25">
      <c r="A2" s="371" t="s">
        <v>136</v>
      </c>
      <c r="B2" s="371"/>
      <c r="C2" s="371"/>
      <c r="E2" s="749">
        <f>'Qtrly''s-Cntsht Book'!Y19</f>
        <v>1664142.8300000003</v>
      </c>
      <c r="F2" s="454"/>
    </row>
    <row r="3" spans="1:9" s="300" customFormat="1" ht="19.5" customHeight="1" thickBot="1" x14ac:dyDescent="0.25">
      <c r="A3" s="908" t="s">
        <v>140</v>
      </c>
      <c r="B3" s="909"/>
      <c r="C3" s="910" t="s">
        <v>143</v>
      </c>
      <c r="D3" s="910"/>
      <c r="E3" s="389" t="s">
        <v>146</v>
      </c>
      <c r="F3" s="389" t="s">
        <v>145</v>
      </c>
      <c r="G3" s="390" t="s">
        <v>149</v>
      </c>
      <c r="H3" s="450"/>
      <c r="I3" s="391"/>
    </row>
    <row r="4" spans="1:9" x14ac:dyDescent="0.2">
      <c r="A4" s="435" t="s">
        <v>92</v>
      </c>
      <c r="B4" s="432"/>
      <c r="C4" s="436"/>
      <c r="D4" s="437">
        <f>SUM(C5:C7)</f>
        <v>198851085.80000004</v>
      </c>
      <c r="E4" s="433"/>
      <c r="F4" s="433">
        <f>SUM(D4+E6+E7)</f>
        <v>198451480.56000003</v>
      </c>
      <c r="G4" s="434">
        <f>F4/$E$2</f>
        <v>119.25147107715507</v>
      </c>
      <c r="H4" s="451"/>
    </row>
    <row r="5" spans="1:9" x14ac:dyDescent="0.2">
      <c r="A5" s="328"/>
      <c r="B5" s="194" t="s">
        <v>55</v>
      </c>
      <c r="C5" s="372">
        <f>'COST ALLOCATION'!F8</f>
        <v>198851085.80000004</v>
      </c>
      <c r="D5" s="372"/>
      <c r="F5" s="372"/>
      <c r="G5" s="373"/>
      <c r="H5" s="451"/>
    </row>
    <row r="6" spans="1:9" x14ac:dyDescent="0.2">
      <c r="A6" s="328"/>
      <c r="B6" s="374" t="s">
        <v>333</v>
      </c>
      <c r="C6" s="372"/>
      <c r="D6" s="372"/>
      <c r="E6" s="419">
        <f>'COST ALLOCATION'!F13+'COST ALLOCATION'!F9</f>
        <v>-376410.34</v>
      </c>
      <c r="F6" s="372"/>
      <c r="G6" s="373"/>
      <c r="H6" s="451"/>
    </row>
    <row r="7" spans="1:9" x14ac:dyDescent="0.2">
      <c r="A7" s="328"/>
      <c r="B7" s="374" t="s">
        <v>879</v>
      </c>
      <c r="C7" s="805"/>
      <c r="D7" s="372"/>
      <c r="E7" s="419">
        <f>'COST ALLOCATION'!F11</f>
        <v>-23194.9</v>
      </c>
      <c r="F7" s="372"/>
      <c r="G7" s="373"/>
      <c r="H7" s="451"/>
    </row>
    <row r="8" spans="1:9" x14ac:dyDescent="0.2">
      <c r="A8" s="435" t="s">
        <v>616</v>
      </c>
      <c r="B8" s="432"/>
      <c r="C8" s="372">
        <f>'COST ALLOCATION'!F21</f>
        <v>1337281.44</v>
      </c>
      <c r="D8" s="433">
        <f>SUM(C8:C8)</f>
        <v>1337281.44</v>
      </c>
      <c r="E8" s="433"/>
      <c r="F8" s="433">
        <f>SUM(D8,E9)</f>
        <v>1294365.44</v>
      </c>
      <c r="G8" s="434">
        <f>F8/$E$2</f>
        <v>0.7777970836794097</v>
      </c>
      <c r="H8" s="451"/>
    </row>
    <row r="9" spans="1:9" x14ac:dyDescent="0.2">
      <c r="A9" s="328"/>
      <c r="B9" s="697" t="s">
        <v>753</v>
      </c>
      <c r="D9" s="372"/>
      <c r="E9" s="419">
        <f>'COST ALLOCATION'!F22+'COST ALLOCATION'!F23</f>
        <v>-42916</v>
      </c>
      <c r="F9" s="375"/>
      <c r="G9" s="376"/>
      <c r="H9" s="451"/>
    </row>
    <row r="10" spans="1:9" x14ac:dyDescent="0.2">
      <c r="A10" s="462" t="s">
        <v>615</v>
      </c>
      <c r="B10" s="432"/>
      <c r="C10" s="372">
        <f>D10</f>
        <v>69776361.979999989</v>
      </c>
      <c r="D10" s="433">
        <f>'COST ALLOCATION'!F16</f>
        <v>69776361.979999989</v>
      </c>
      <c r="E10" s="419">
        <f>'COST ALLOCATION'!F17+'COST ALLOCATION'!F18+'COST ALLOCATION'!F19+'COST ALLOCATION'!F20</f>
        <v>-3494598.69</v>
      </c>
      <c r="F10" s="433">
        <f>SUM(D10:E10)</f>
        <v>66281763.289999992</v>
      </c>
      <c r="G10" s="434">
        <f>F10/$E$2</f>
        <v>39.829371671180397</v>
      </c>
      <c r="H10" s="451"/>
    </row>
    <row r="11" spans="1:9" x14ac:dyDescent="0.2">
      <c r="A11" s="457" t="s">
        <v>142</v>
      </c>
      <c r="B11" s="432"/>
      <c r="C11" s="433"/>
      <c r="D11" s="433">
        <f>SUM(C12)</f>
        <v>13287036.871289467</v>
      </c>
      <c r="E11" s="419">
        <f>'COST ALLOCATION'!F4</f>
        <v>-3155516.44</v>
      </c>
      <c r="F11" s="433">
        <f>SUM(D11:E11)</f>
        <v>10131520.431289468</v>
      </c>
      <c r="G11" s="434">
        <f>F11/$E$2</f>
        <v>6.0881315285235864</v>
      </c>
      <c r="H11" s="451"/>
    </row>
    <row r="12" spans="1:9" x14ac:dyDescent="0.2">
      <c r="A12" s="445"/>
      <c r="B12" s="194" t="s">
        <v>221</v>
      </c>
      <c r="C12" s="372">
        <f>'COST ALLOCATION'!I6</f>
        <v>13287036.871289467</v>
      </c>
      <c r="D12" s="193"/>
      <c r="E12" s="372"/>
      <c r="F12" s="375"/>
      <c r="G12" s="376"/>
      <c r="H12" s="451"/>
    </row>
    <row r="13" spans="1:9" x14ac:dyDescent="0.2">
      <c r="A13" s="457" t="s">
        <v>223</v>
      </c>
      <c r="B13" s="432"/>
      <c r="C13" s="433"/>
      <c r="D13" s="433">
        <f>SUM(C15:C22)</f>
        <v>17253914.226047199</v>
      </c>
      <c r="E13" s="828"/>
      <c r="F13" s="433">
        <f>D13+SUM(E13:E21)</f>
        <v>16471522.6960472</v>
      </c>
      <c r="G13" s="434">
        <f>F13/$E$2</f>
        <v>9.8979020304688614</v>
      </c>
      <c r="H13" s="451"/>
    </row>
    <row r="14" spans="1:9" x14ac:dyDescent="0.2">
      <c r="A14" s="457"/>
      <c r="B14" s="697" t="s">
        <v>900</v>
      </c>
      <c r="C14" s="835"/>
      <c r="D14" s="835"/>
      <c r="E14" s="828">
        <f>-107717.4-60010-366548.94</f>
        <v>-534276.34</v>
      </c>
      <c r="F14" s="433"/>
      <c r="G14" s="434"/>
      <c r="H14" s="451"/>
    </row>
    <row r="15" spans="1:9" x14ac:dyDescent="0.2">
      <c r="A15" s="445"/>
      <c r="B15" s="194" t="s">
        <v>52</v>
      </c>
      <c r="C15" s="372">
        <f>'COST ALLOCATION'!F24</f>
        <v>1644257.3900000001</v>
      </c>
      <c r="D15" s="372"/>
      <c r="E15" s="372"/>
      <c r="F15" s="375"/>
      <c r="G15" s="376"/>
      <c r="H15" s="451"/>
    </row>
    <row r="16" spans="1:9" x14ac:dyDescent="0.2">
      <c r="A16" s="193"/>
      <c r="B16" s="193" t="s">
        <v>880</v>
      </c>
      <c r="C16" s="372"/>
      <c r="D16" s="372"/>
      <c r="E16" s="828">
        <f>'COST ALLOCATION'!F56</f>
        <v>-15000</v>
      </c>
      <c r="F16" s="375"/>
      <c r="G16" s="376"/>
      <c r="H16" s="451"/>
    </row>
    <row r="17" spans="1:10" x14ac:dyDescent="0.2">
      <c r="A17" s="193"/>
      <c r="B17" s="193" t="s">
        <v>93</v>
      </c>
      <c r="C17" s="372">
        <f>'COST ALLOCATION'!F33</f>
        <v>9833622.0860471986</v>
      </c>
      <c r="D17" s="372"/>
      <c r="E17" s="372"/>
      <c r="F17" s="375"/>
      <c r="G17" s="376"/>
      <c r="H17" s="451"/>
    </row>
    <row r="18" spans="1:10" x14ac:dyDescent="0.2">
      <c r="A18" s="193"/>
      <c r="B18" s="193" t="s">
        <v>144</v>
      </c>
      <c r="C18" s="372">
        <f>'COST ALLOCATION'!F14</f>
        <v>1171938.0499999998</v>
      </c>
      <c r="D18" s="372"/>
      <c r="E18" s="419">
        <f>'COST ALLOCATION'!F15</f>
        <v>-93115.19</v>
      </c>
      <c r="F18" s="375"/>
      <c r="G18" s="376"/>
      <c r="H18" s="451"/>
    </row>
    <row r="19" spans="1:10" x14ac:dyDescent="0.2">
      <c r="A19" s="193"/>
      <c r="B19" s="193" t="s">
        <v>262</v>
      </c>
      <c r="C19" s="372">
        <f>'COST ALLOCATION'!F27</f>
        <v>1187694.04</v>
      </c>
      <c r="D19" s="372"/>
      <c r="E19" s="372"/>
      <c r="F19" s="375"/>
      <c r="G19" s="376"/>
      <c r="H19" s="451"/>
    </row>
    <row r="20" spans="1:10" x14ac:dyDescent="0.2">
      <c r="A20" s="193"/>
      <c r="B20" s="193" t="s">
        <v>54</v>
      </c>
      <c r="C20" s="372">
        <f>'COST ALLOCATION'!F28</f>
        <v>2884554.9499999993</v>
      </c>
      <c r="D20" s="372"/>
      <c r="E20" s="419">
        <f>'COST ALLOCATION'!F29</f>
        <v>-140000</v>
      </c>
      <c r="F20" s="375"/>
      <c r="G20" s="376"/>
      <c r="H20" s="451"/>
    </row>
    <row r="21" spans="1:10" x14ac:dyDescent="0.2">
      <c r="A21" s="193"/>
      <c r="B21" s="193" t="s">
        <v>263</v>
      </c>
      <c r="C21" s="372">
        <f>'COST ALLOCATION'!F30</f>
        <v>531847.71</v>
      </c>
      <c r="D21" s="372"/>
      <c r="E21" s="372"/>
      <c r="F21" s="375"/>
      <c r="G21" s="376"/>
      <c r="H21" s="451"/>
    </row>
    <row r="22" spans="1:10" ht="13.5" thickBot="1" x14ac:dyDescent="0.25">
      <c r="A22" s="446"/>
      <c r="B22" s="431"/>
      <c r="C22" s="438"/>
      <c r="D22" s="377"/>
      <c r="E22" s="419"/>
      <c r="F22" s="378"/>
      <c r="G22" s="439"/>
      <c r="H22" s="451"/>
    </row>
    <row r="23" spans="1:10" ht="16.5" thickBot="1" x14ac:dyDescent="0.3">
      <c r="A23" s="456" t="s">
        <v>149</v>
      </c>
      <c r="B23" s="440"/>
      <c r="C23" s="441"/>
      <c r="D23" s="442">
        <f>SUM(D4:D18)</f>
        <v>300505680.31733674</v>
      </c>
      <c r="E23" s="443">
        <f>SUM(E4:E22)</f>
        <v>-7875027.9000000004</v>
      </c>
      <c r="F23" s="444">
        <f>SUM(F4:F21)</f>
        <v>292630652.4173367</v>
      </c>
      <c r="G23" s="656">
        <f>SUM(G4:G21)</f>
        <v>175.84467339100732</v>
      </c>
    </row>
    <row r="24" spans="1:10" ht="27.75" customHeight="1" thickBot="1" x14ac:dyDescent="0.25">
      <c r="A24" s="422" t="s">
        <v>204</v>
      </c>
      <c r="B24" s="303"/>
      <c r="D24" s="157"/>
      <c r="E24" s="157"/>
      <c r="F24" s="157"/>
      <c r="G24" s="157"/>
    </row>
    <row r="25" spans="1:10" s="142" customFormat="1" ht="53.25" customHeight="1" thickTop="1" thickBot="1" x14ac:dyDescent="0.3">
      <c r="A25" s="911" t="s">
        <v>55</v>
      </c>
      <c r="B25" s="912"/>
      <c r="C25" s="258" t="s">
        <v>51</v>
      </c>
      <c r="D25" s="258" t="s">
        <v>94</v>
      </c>
      <c r="E25" s="258" t="s">
        <v>95</v>
      </c>
      <c r="F25" s="259" t="s">
        <v>53</v>
      </c>
      <c r="G25" s="259" t="s">
        <v>61</v>
      </c>
      <c r="H25" s="480" t="s">
        <v>96</v>
      </c>
      <c r="I25" s="259" t="s">
        <v>224</v>
      </c>
      <c r="J25" s="258" t="s">
        <v>47</v>
      </c>
    </row>
    <row r="26" spans="1:10" ht="13.5" thickTop="1" x14ac:dyDescent="0.2">
      <c r="A26" s="193" t="s">
        <v>243</v>
      </c>
      <c r="B26" s="193"/>
      <c r="C26" s="302">
        <f>'Sched-B1'!E4+'Sched-D1'!F44</f>
        <v>38871082.109999999</v>
      </c>
      <c r="D26" s="379">
        <f>'Inmate Avg Daily Population'!O4</f>
        <v>320939.29999999993</v>
      </c>
      <c r="E26" s="380">
        <f>C26/D26</f>
        <v>121.11661647545192</v>
      </c>
      <c r="F26" s="381">
        <f>$G$8</f>
        <v>0.7777970836794097</v>
      </c>
      <c r="G26" s="382">
        <f>$G$10</f>
        <v>39.829371671180397</v>
      </c>
      <c r="H26" s="382">
        <f>$G$11</f>
        <v>6.0881315285235864</v>
      </c>
      <c r="I26" s="382">
        <f t="shared" ref="I26:I38" si="0">$G$13</f>
        <v>9.8979020304688614</v>
      </c>
      <c r="J26" s="302">
        <f>SUM(E26:I26)</f>
        <v>177.70981878930414</v>
      </c>
    </row>
    <row r="27" spans="1:10" x14ac:dyDescent="0.2">
      <c r="A27" s="193" t="s">
        <v>533</v>
      </c>
      <c r="B27" s="193"/>
      <c r="C27" s="302">
        <f>'Sched-B1'!E5+'Sched-D1'!F89</f>
        <v>7218523.8799999999</v>
      </c>
      <c r="D27" s="459">
        <f>'Inmate Avg Daily Population'!O5</f>
        <v>45258.950000000004</v>
      </c>
      <c r="E27" s="380">
        <f>C27/D27</f>
        <v>159.49384331717812</v>
      </c>
      <c r="F27" s="381">
        <f t="shared" ref="F27:F38" si="1">$G$8</f>
        <v>0.7777970836794097</v>
      </c>
      <c r="G27" s="382">
        <f>$G$10</f>
        <v>39.829371671180397</v>
      </c>
      <c r="H27" s="382">
        <f>$G$11</f>
        <v>6.0881315285235864</v>
      </c>
      <c r="I27" s="382">
        <f t="shared" si="0"/>
        <v>9.8979020304688614</v>
      </c>
      <c r="J27" s="302">
        <f>SUM(E27:I27)</f>
        <v>216.08704563103035</v>
      </c>
    </row>
    <row r="28" spans="1:10" x14ac:dyDescent="0.2">
      <c r="A28" s="193" t="s">
        <v>617</v>
      </c>
      <c r="B28" s="193"/>
      <c r="C28" s="302">
        <f>'Sched-B1'!E7+'Sched-D1'!F190</f>
        <v>14468136.370000001</v>
      </c>
      <c r="D28" s="383">
        <f>'Inmate Avg Daily Population'!O6</f>
        <v>100363.29999999999</v>
      </c>
      <c r="E28" s="380">
        <f>C28/D28</f>
        <v>144.15763899752204</v>
      </c>
      <c r="F28" s="381">
        <f>$G$8</f>
        <v>0.7777970836794097</v>
      </c>
      <c r="G28" s="382">
        <f t="shared" ref="G28:G38" si="2">$G$10</f>
        <v>39.829371671180397</v>
      </c>
      <c r="H28" s="382">
        <f t="shared" ref="H28:H38" si="3">$G$11</f>
        <v>6.0881315285235864</v>
      </c>
      <c r="I28" s="382">
        <f t="shared" si="0"/>
        <v>9.8979020304688614</v>
      </c>
      <c r="J28" s="302">
        <f>SUM(E28:I28)</f>
        <v>200.75084131137427</v>
      </c>
    </row>
    <row r="29" spans="1:10" x14ac:dyDescent="0.2">
      <c r="A29" s="193" t="s">
        <v>543</v>
      </c>
      <c r="B29" s="193"/>
      <c r="C29" s="302">
        <f>'Sched-B1'!E8+'Sched-D1'!F242</f>
        <v>44271287.799999997</v>
      </c>
      <c r="D29" s="383">
        <f>'Inmate Avg Daily Population'!O7</f>
        <v>493754.13</v>
      </c>
      <c r="E29" s="380">
        <f>C29/D29</f>
        <v>89.662617708129346</v>
      </c>
      <c r="F29" s="381">
        <f>$G$8</f>
        <v>0.7777970836794097</v>
      </c>
      <c r="G29" s="382">
        <f t="shared" si="2"/>
        <v>39.829371671180397</v>
      </c>
      <c r="H29" s="382">
        <f t="shared" si="3"/>
        <v>6.0881315285235864</v>
      </c>
      <c r="I29" s="382">
        <f t="shared" si="0"/>
        <v>9.8979020304688614</v>
      </c>
      <c r="J29" s="302">
        <f>SUM(E29:I29)</f>
        <v>146.25582002198158</v>
      </c>
    </row>
    <row r="30" spans="1:10" x14ac:dyDescent="0.2">
      <c r="A30" s="193" t="s">
        <v>532</v>
      </c>
      <c r="B30" s="193"/>
      <c r="C30" s="302">
        <f>'Sched-B1'!E6+'Sched-D1'!F138</f>
        <v>15148563.550000001</v>
      </c>
      <c r="D30" s="383">
        <f>'Inmate Avg Daily Population'!O8</f>
        <v>109922</v>
      </c>
      <c r="E30" s="380">
        <f t="shared" ref="E30:E38" si="4">C30/D30</f>
        <v>137.81193528138135</v>
      </c>
      <c r="F30" s="381">
        <f t="shared" si="1"/>
        <v>0.7777970836794097</v>
      </c>
      <c r="G30" s="382">
        <f t="shared" si="2"/>
        <v>39.829371671180397</v>
      </c>
      <c r="H30" s="382">
        <f t="shared" si="3"/>
        <v>6.0881315285235864</v>
      </c>
      <c r="I30" s="382">
        <f t="shared" si="0"/>
        <v>9.8979020304688614</v>
      </c>
      <c r="J30" s="302">
        <f t="shared" ref="J30:J38" si="5">SUM(E30:I30)</f>
        <v>194.40513759523358</v>
      </c>
    </row>
    <row r="31" spans="1:10" x14ac:dyDescent="0.2">
      <c r="A31" s="193" t="s">
        <v>618</v>
      </c>
      <c r="B31" s="193"/>
      <c r="C31" s="302">
        <f>'Sched-B1'!E9+'Sched-D1'!F296</f>
        <v>4955083.66</v>
      </c>
      <c r="D31" s="383">
        <f>'Inmate Avg Daily Population'!O9</f>
        <v>21325.600000000002</v>
      </c>
      <c r="E31" s="380">
        <f t="shared" si="4"/>
        <v>232.35377480586712</v>
      </c>
      <c r="F31" s="381">
        <f t="shared" si="1"/>
        <v>0.7777970836794097</v>
      </c>
      <c r="G31" s="382">
        <f t="shared" si="2"/>
        <v>39.829371671180397</v>
      </c>
      <c r="H31" s="382">
        <f t="shared" si="3"/>
        <v>6.0881315285235864</v>
      </c>
      <c r="I31" s="382">
        <f t="shared" si="0"/>
        <v>9.8979020304688614</v>
      </c>
      <c r="J31" s="302">
        <f t="shared" si="5"/>
        <v>288.94697711971941</v>
      </c>
    </row>
    <row r="32" spans="1:10" x14ac:dyDescent="0.2">
      <c r="A32" s="193" t="s">
        <v>555</v>
      </c>
      <c r="B32" s="193"/>
      <c r="C32" s="302">
        <f>'Sched-B1'!E10+'Sched-D1'!F345</f>
        <v>11077541.119999999</v>
      </c>
      <c r="D32" s="383">
        <f>'Inmate Avg Daily Population'!O10</f>
        <v>85393.900000000009</v>
      </c>
      <c r="E32" s="380">
        <f t="shared" si="4"/>
        <v>129.72286217165393</v>
      </c>
      <c r="F32" s="381">
        <f t="shared" si="1"/>
        <v>0.7777970836794097</v>
      </c>
      <c r="G32" s="382">
        <f t="shared" si="2"/>
        <v>39.829371671180397</v>
      </c>
      <c r="H32" s="382">
        <f t="shared" si="3"/>
        <v>6.0881315285235864</v>
      </c>
      <c r="I32" s="382">
        <f t="shared" si="0"/>
        <v>9.8979020304688614</v>
      </c>
      <c r="J32" s="302">
        <f t="shared" si="5"/>
        <v>186.31606448550619</v>
      </c>
    </row>
    <row r="33" spans="1:10" x14ac:dyDescent="0.2">
      <c r="A33" s="193" t="s">
        <v>619</v>
      </c>
      <c r="B33" s="193"/>
      <c r="C33" s="302">
        <f>'Sched-B1'!E11+'Sched-D1'!F398</f>
        <v>6632456.5700000003</v>
      </c>
      <c r="D33" s="383">
        <f>'Inmate Avg Daily Population'!O11</f>
        <v>33095.550000000003</v>
      </c>
      <c r="E33" s="380">
        <f t="shared" si="4"/>
        <v>200.40327385403776</v>
      </c>
      <c r="F33" s="381">
        <f t="shared" si="1"/>
        <v>0.7777970836794097</v>
      </c>
      <c r="G33" s="382">
        <f t="shared" si="2"/>
        <v>39.829371671180397</v>
      </c>
      <c r="H33" s="382">
        <f t="shared" si="3"/>
        <v>6.0881315285235864</v>
      </c>
      <c r="I33" s="382">
        <f t="shared" si="0"/>
        <v>9.8979020304688614</v>
      </c>
      <c r="J33" s="302">
        <f>SUM(E33:I33)</f>
        <v>256.99647616789002</v>
      </c>
    </row>
    <row r="34" spans="1:10" x14ac:dyDescent="0.2">
      <c r="A34" s="193" t="s">
        <v>620</v>
      </c>
      <c r="B34" s="193"/>
      <c r="C34" s="302">
        <f>'Sched-B1'!E12+'Sched-D1'!F447</f>
        <v>1216570.7099999997</v>
      </c>
      <c r="D34" s="380">
        <f>'Inmate Avg Daily Population'!O12</f>
        <v>0</v>
      </c>
      <c r="E34" s="380">
        <v>0</v>
      </c>
      <c r="F34" s="381">
        <f>$G$8*0</f>
        <v>0</v>
      </c>
      <c r="G34" s="382">
        <f>$G$10*0</f>
        <v>0</v>
      </c>
      <c r="H34" s="382">
        <f>$G$11*0</f>
        <v>0</v>
      </c>
      <c r="I34" s="382">
        <f>$G$13*0</f>
        <v>0</v>
      </c>
      <c r="J34" s="302">
        <f>SUM(E34:I34)</f>
        <v>0</v>
      </c>
    </row>
    <row r="35" spans="1:10" x14ac:dyDescent="0.2">
      <c r="A35" s="906" t="s">
        <v>261</v>
      </c>
      <c r="B35" s="907"/>
      <c r="C35" s="302">
        <f>'Sched-B1'!E16+'Sched-D1'!F660</f>
        <v>4614006.41</v>
      </c>
      <c r="D35" s="383">
        <f>'Inmate Avg Daily Population'!O13</f>
        <v>29060.399999999998</v>
      </c>
      <c r="E35" s="380">
        <f t="shared" si="4"/>
        <v>158.77298351020636</v>
      </c>
      <c r="F35" s="381">
        <f t="shared" si="1"/>
        <v>0.7777970836794097</v>
      </c>
      <c r="G35" s="382">
        <f t="shared" si="2"/>
        <v>39.829371671180397</v>
      </c>
      <c r="H35" s="382">
        <f t="shared" si="3"/>
        <v>6.0881315285235864</v>
      </c>
      <c r="I35" s="382">
        <f t="shared" si="0"/>
        <v>9.8979020304688614</v>
      </c>
      <c r="J35" s="302">
        <f t="shared" si="5"/>
        <v>215.36618582405859</v>
      </c>
    </row>
    <row r="36" spans="1:10" x14ac:dyDescent="0.2">
      <c r="A36" s="193" t="s">
        <v>546</v>
      </c>
      <c r="B36" s="193"/>
      <c r="C36" s="302">
        <f>'Sched-B1'!E13+'Sched-D1'!F501</f>
        <v>23990565.460000001</v>
      </c>
      <c r="D36" s="384">
        <f>'Inmate Avg Daily Population'!O14</f>
        <v>188413.75</v>
      </c>
      <c r="E36" s="380">
        <f t="shared" si="4"/>
        <v>127.32916498928556</v>
      </c>
      <c r="F36" s="381">
        <f t="shared" si="1"/>
        <v>0.7777970836794097</v>
      </c>
      <c r="G36" s="382">
        <f t="shared" si="2"/>
        <v>39.829371671180397</v>
      </c>
      <c r="H36" s="382">
        <f t="shared" si="3"/>
        <v>6.0881315285235864</v>
      </c>
      <c r="I36" s="382">
        <f t="shared" si="0"/>
        <v>9.8979020304688614</v>
      </c>
      <c r="J36" s="302">
        <f t="shared" si="5"/>
        <v>183.9223673031378</v>
      </c>
    </row>
    <row r="37" spans="1:10" x14ac:dyDescent="0.2">
      <c r="A37" s="196" t="s">
        <v>547</v>
      </c>
      <c r="B37" s="196"/>
      <c r="C37" s="302">
        <f>'Sched-B1'!E14+'Sched-D1'!F556</f>
        <v>15931895.6</v>
      </c>
      <c r="D37" s="384">
        <f>'Inmate Avg Daily Population'!O15</f>
        <v>162064.79999999999</v>
      </c>
      <c r="E37" s="380">
        <f t="shared" si="4"/>
        <v>98.30571228298804</v>
      </c>
      <c r="F37" s="385">
        <f t="shared" si="1"/>
        <v>0.7777970836794097</v>
      </c>
      <c r="G37" s="382">
        <f t="shared" si="2"/>
        <v>39.829371671180397</v>
      </c>
      <c r="H37" s="382">
        <f t="shared" si="3"/>
        <v>6.0881315285235864</v>
      </c>
      <c r="I37" s="382">
        <f t="shared" si="0"/>
        <v>9.8979020304688614</v>
      </c>
      <c r="J37" s="302">
        <f t="shared" si="5"/>
        <v>154.89891459684029</v>
      </c>
    </row>
    <row r="38" spans="1:10" ht="13.5" thickBot="1" x14ac:dyDescent="0.25">
      <c r="A38" s="445" t="s">
        <v>621</v>
      </c>
      <c r="B38" s="194"/>
      <c r="C38" s="302">
        <f>'Sched-B1'!E15+'Sched-D1'!F606</f>
        <v>10035749.830000002</v>
      </c>
      <c r="D38" s="386">
        <f>'Inmate Avg Daily Population'!O16</f>
        <v>74551.150000000009</v>
      </c>
      <c r="E38" s="387">
        <f t="shared" si="4"/>
        <v>134.61562739139504</v>
      </c>
      <c r="F38" s="385">
        <f t="shared" si="1"/>
        <v>0.7777970836794097</v>
      </c>
      <c r="G38" s="382">
        <f t="shared" si="2"/>
        <v>39.829371671180397</v>
      </c>
      <c r="H38" s="382">
        <f t="shared" si="3"/>
        <v>6.0881315285235864</v>
      </c>
      <c r="I38" s="382">
        <f t="shared" si="0"/>
        <v>9.8979020304688614</v>
      </c>
      <c r="J38" s="387">
        <f t="shared" si="5"/>
        <v>191.20882970524727</v>
      </c>
    </row>
    <row r="39" spans="1:10" s="303" customFormat="1" ht="15.75" customHeight="1" thickTop="1" thickBot="1" x14ac:dyDescent="0.25">
      <c r="A39" s="452" t="s">
        <v>60</v>
      </c>
      <c r="B39" s="453"/>
      <c r="C39" s="658">
        <f>SUM(C26:C38)</f>
        <v>198431463.06999999</v>
      </c>
      <c r="D39" s="659">
        <f>SUM(D26:D38)</f>
        <v>1664142.8299999998</v>
      </c>
      <c r="E39" s="660">
        <f>G4</f>
        <v>119.25147107715507</v>
      </c>
      <c r="F39" s="661">
        <f>G8</f>
        <v>0.7777970836794097</v>
      </c>
      <c r="G39" s="662">
        <f>G10</f>
        <v>39.829371671180397</v>
      </c>
      <c r="H39" s="662">
        <f>G11</f>
        <v>6.0881315285235864</v>
      </c>
      <c r="I39" s="661">
        <f>G13</f>
        <v>9.8979020304688614</v>
      </c>
      <c r="J39" s="657">
        <f>SUM(E39:I39)</f>
        <v>175.84467339100732</v>
      </c>
    </row>
    <row r="40" spans="1:10" ht="13.5" thickTop="1" x14ac:dyDescent="0.2">
      <c r="C40" s="157"/>
      <c r="E40" s="157"/>
    </row>
    <row r="41" spans="1:10" x14ac:dyDescent="0.2">
      <c r="C41" s="157"/>
    </row>
    <row r="42" spans="1:10" x14ac:dyDescent="0.2">
      <c r="J42" s="157"/>
    </row>
    <row r="43" spans="1:10" x14ac:dyDescent="0.2">
      <c r="A43" s="169" t="s">
        <v>899</v>
      </c>
      <c r="B43" s="388"/>
    </row>
    <row r="56" spans="6:7" x14ac:dyDescent="0.2">
      <c r="F56" s="157"/>
      <c r="G56" s="157"/>
    </row>
  </sheetData>
  <mergeCells count="5">
    <mergeCell ref="A1:G1"/>
    <mergeCell ref="A35:B35"/>
    <mergeCell ref="A3:B3"/>
    <mergeCell ref="C3:D3"/>
    <mergeCell ref="A25:B25"/>
  </mergeCells>
  <phoneticPr fontId="21" type="noConversion"/>
  <printOptions horizontalCentered="1"/>
  <pageMargins left="0" right="0" top="1" bottom="0.5" header="0.33" footer="0.5"/>
  <pageSetup scale="83" fitToHeight="0" orientation="landscape" r:id="rId1"/>
  <headerFooter alignWithMargins="0">
    <oddHeader>&amp;C&amp;"Arial,Bold"&amp;12DEPARTMENT OF CORRECTIONS
 COST OF CARE Year 2021
(Based on Fiscal Year 2020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7" tint="0.59999389629810485"/>
    <pageSetUpPr fitToPage="1"/>
  </sheetPr>
  <dimension ref="A1:V35"/>
  <sheetViews>
    <sheetView showGridLines="0" zoomScale="75" workbookViewId="0">
      <pane ySplit="3" topLeftCell="A4" activePane="bottomLeft" state="frozenSplit"/>
      <selection activeCell="B35" sqref="B35"/>
      <selection pane="bottomLeft" activeCell="A3" sqref="A3"/>
    </sheetView>
  </sheetViews>
  <sheetFormatPr defaultColWidth="9.140625" defaultRowHeight="12.75" x14ac:dyDescent="0.2"/>
  <cols>
    <col min="1" max="1" width="28.42578125" style="113" customWidth="1"/>
    <col min="2" max="2" width="12.28515625" style="113" customWidth="1"/>
    <col min="3" max="3" width="11.7109375" style="113" customWidth="1"/>
    <col min="4" max="4" width="11" style="113" customWidth="1"/>
    <col min="5" max="5" width="11.28515625" style="113" customWidth="1"/>
    <col min="6" max="6" width="11.42578125" style="113" customWidth="1"/>
    <col min="7" max="7" width="11.5703125" style="113" customWidth="1"/>
    <col min="8" max="8" width="11.28515625" style="113" customWidth="1"/>
    <col min="9" max="9" width="11.5703125" style="113" customWidth="1"/>
    <col min="10" max="10" width="11.28515625" style="113" customWidth="1"/>
    <col min="11" max="11" width="10.85546875" style="113" customWidth="1"/>
    <col min="12" max="12" width="11.42578125" style="113" customWidth="1"/>
    <col min="13" max="13" width="10.85546875" style="113" customWidth="1"/>
    <col min="14" max="14" width="16.5703125" style="113" customWidth="1"/>
    <col min="15" max="15" width="15.42578125" style="113" customWidth="1"/>
    <col min="16" max="16384" width="9.140625" style="113"/>
  </cols>
  <sheetData>
    <row r="1" spans="1:22" ht="31.5" customHeight="1" thickBot="1" x14ac:dyDescent="0.25">
      <c r="A1" s="143" t="s">
        <v>136</v>
      </c>
    </row>
    <row r="2" spans="1:22" ht="33.75" customHeight="1" thickBot="1" x14ac:dyDescent="0.3">
      <c r="A2" s="392"/>
      <c r="B2" s="913" t="s">
        <v>134</v>
      </c>
      <c r="C2" s="914"/>
      <c r="D2" s="914"/>
      <c r="E2" s="914"/>
      <c r="F2" s="914"/>
      <c r="G2" s="914"/>
      <c r="H2" s="914"/>
      <c r="I2" s="914"/>
      <c r="J2" s="914"/>
      <c r="K2" s="914"/>
      <c r="L2" s="914"/>
      <c r="M2" s="915"/>
      <c r="N2" s="916" t="s">
        <v>135</v>
      </c>
      <c r="O2" s="918" t="s">
        <v>136</v>
      </c>
    </row>
    <row r="3" spans="1:22" ht="33.75" customHeight="1" thickBot="1" x14ac:dyDescent="0.25">
      <c r="A3" s="400" t="s">
        <v>55</v>
      </c>
      <c r="B3" s="727">
        <v>43655</v>
      </c>
      <c r="C3" s="727">
        <v>43686</v>
      </c>
      <c r="D3" s="727">
        <v>43717</v>
      </c>
      <c r="E3" s="727">
        <v>43747</v>
      </c>
      <c r="F3" s="727">
        <v>43778</v>
      </c>
      <c r="G3" s="727">
        <v>43808</v>
      </c>
      <c r="H3" s="727">
        <v>43839</v>
      </c>
      <c r="I3" s="727">
        <v>43870</v>
      </c>
      <c r="J3" s="727">
        <v>43899</v>
      </c>
      <c r="K3" s="727">
        <v>43930</v>
      </c>
      <c r="L3" s="727">
        <v>43960</v>
      </c>
      <c r="M3" s="727">
        <v>43991</v>
      </c>
      <c r="N3" s="917"/>
      <c r="O3" s="919"/>
    </row>
    <row r="4" spans="1:22" ht="22.5" customHeight="1" x14ac:dyDescent="0.25">
      <c r="A4" s="393" t="s">
        <v>330</v>
      </c>
      <c r="B4" s="725">
        <f>'Qtrly''s-Cntsht Book'!D5</f>
        <v>843</v>
      </c>
      <c r="C4" s="725">
        <f>'Qtrly''s-Cntsht Book'!E5</f>
        <v>863.3</v>
      </c>
      <c r="D4" s="725">
        <f>'Qtrly''s-Cntsht Book'!F5</f>
        <v>898.8</v>
      </c>
      <c r="E4" s="726">
        <f>'Qtrly''s-Cntsht Book'!I5</f>
        <v>907.5</v>
      </c>
      <c r="F4" s="726">
        <f>'Qtrly''s-Cntsht Book'!J5</f>
        <v>921.6</v>
      </c>
      <c r="G4" s="726">
        <f>'Qtrly''s-Cntsht Book'!K5</f>
        <v>878.2</v>
      </c>
      <c r="H4" s="726">
        <f>'Qtrly''s-Cntsht Book'!N5</f>
        <v>873.7</v>
      </c>
      <c r="I4" s="726">
        <f>'Qtrly''s-Cntsht Book'!O5</f>
        <v>891</v>
      </c>
      <c r="J4" s="726">
        <f>'Qtrly''s-Cntsht Book'!P5</f>
        <v>879.8</v>
      </c>
      <c r="K4" s="726">
        <f>'Qtrly''s-Cntsht Book'!S5</f>
        <v>815</v>
      </c>
      <c r="L4" s="726">
        <f>'Qtrly''s-Cntsht Book'!T5</f>
        <v>842.3</v>
      </c>
      <c r="M4" s="726">
        <f>'Qtrly''s-Cntsht Book'!U5</f>
        <v>908.4</v>
      </c>
      <c r="N4" s="394">
        <f>SUM(B4:M4)/12</f>
        <v>876.88333333333321</v>
      </c>
      <c r="O4" s="395">
        <f>N4*366</f>
        <v>320939.29999999993</v>
      </c>
      <c r="R4" s="410"/>
      <c r="S4" s="411"/>
      <c r="T4" s="412"/>
      <c r="U4" s="412"/>
      <c r="V4" s="413"/>
    </row>
    <row r="5" spans="1:22" ht="23.45" customHeight="1" x14ac:dyDescent="0.25">
      <c r="A5" s="396" t="s">
        <v>121</v>
      </c>
      <c r="B5" s="725">
        <f>'Qtrly''s-Cntsht Book'!D6</f>
        <v>132.19999999999999</v>
      </c>
      <c r="C5" s="725">
        <f>'Qtrly''s-Cntsht Book'!E6</f>
        <v>135.1</v>
      </c>
      <c r="D5" s="725">
        <f>'Qtrly''s-Cntsht Book'!F6</f>
        <v>136.69999999999999</v>
      </c>
      <c r="E5" s="726">
        <f>'Qtrly''s-Cntsht Book'!I6</f>
        <v>124.3</v>
      </c>
      <c r="F5" s="726">
        <f>'Qtrly''s-Cntsht Book'!J6</f>
        <v>120.6</v>
      </c>
      <c r="G5" s="726">
        <f>'Qtrly''s-Cntsht Book'!K6</f>
        <v>128.4</v>
      </c>
      <c r="H5" s="726">
        <f>'Qtrly''s-Cntsht Book'!N6</f>
        <v>120</v>
      </c>
      <c r="I5" s="726">
        <f>'Qtrly''s-Cntsht Book'!O6</f>
        <v>114.2</v>
      </c>
      <c r="J5" s="726">
        <f>'Qtrly''s-Cntsht Book'!P6</f>
        <v>113.5</v>
      </c>
      <c r="K5" s="726">
        <f>'Qtrly''s-Cntsht Book'!S6</f>
        <v>108.4</v>
      </c>
      <c r="L5" s="726">
        <f>'Qtrly''s-Cntsht Book'!T6</f>
        <v>120.3</v>
      </c>
      <c r="M5" s="726">
        <f>'Qtrly''s-Cntsht Book'!U6</f>
        <v>130.19999999999999</v>
      </c>
      <c r="N5" s="647">
        <f>SUM(B5:M5)/12</f>
        <v>123.65833333333335</v>
      </c>
      <c r="O5" s="395">
        <f t="shared" ref="O5:O17" si="0">N5*366</f>
        <v>45258.950000000004</v>
      </c>
      <c r="R5" s="406"/>
      <c r="S5" s="414"/>
      <c r="T5" s="412"/>
      <c r="U5" s="412"/>
      <c r="V5" s="413"/>
    </row>
    <row r="6" spans="1:22" ht="23.45" customHeight="1" x14ac:dyDescent="0.25">
      <c r="A6" s="397" t="s">
        <v>24</v>
      </c>
      <c r="B6" s="725">
        <f>'Qtrly''s-Cntsht Book'!D7</f>
        <v>279.5</v>
      </c>
      <c r="C6" s="725">
        <f>'Qtrly''s-Cntsht Book'!E7</f>
        <v>286.3</v>
      </c>
      <c r="D6" s="725">
        <f>'Qtrly''s-Cntsht Book'!F7</f>
        <v>292.10000000000002</v>
      </c>
      <c r="E6" s="726">
        <f>'Qtrly''s-Cntsht Book'!I7</f>
        <v>269.89999999999998</v>
      </c>
      <c r="F6" s="726">
        <f>'Qtrly''s-Cntsht Book'!J7</f>
        <v>259.8</v>
      </c>
      <c r="G6" s="726">
        <f>'Qtrly''s-Cntsht Book'!K7</f>
        <v>263.3</v>
      </c>
      <c r="H6" s="726">
        <f>'Qtrly''s-Cntsht Book'!N7</f>
        <v>279.3</v>
      </c>
      <c r="I6" s="726">
        <f>'Qtrly''s-Cntsht Book'!O7</f>
        <v>288.3</v>
      </c>
      <c r="J6" s="726">
        <f>'Qtrly''s-Cntsht Book'!P7</f>
        <v>281.39999999999998</v>
      </c>
      <c r="K6" s="726">
        <f>'Qtrly''s-Cntsht Book'!S7</f>
        <v>244.6</v>
      </c>
      <c r="L6" s="726">
        <f>'Qtrly''s-Cntsht Book'!T7</f>
        <v>267.5</v>
      </c>
      <c r="M6" s="726">
        <f>'Qtrly''s-Cntsht Book'!U7</f>
        <v>278.60000000000002</v>
      </c>
      <c r="N6" s="647">
        <f t="shared" ref="N6:N17" si="1">SUM(B6:M6)/12</f>
        <v>274.21666666666664</v>
      </c>
      <c r="O6" s="395">
        <f t="shared" si="0"/>
        <v>100363.29999999999</v>
      </c>
      <c r="R6" s="406"/>
      <c r="S6" s="414"/>
      <c r="T6" s="412"/>
      <c r="U6" s="412"/>
      <c r="V6" s="413"/>
    </row>
    <row r="7" spans="1:22" ht="23.45" customHeight="1" x14ac:dyDescent="0.25">
      <c r="A7" s="397" t="s">
        <v>374</v>
      </c>
      <c r="B7" s="725">
        <f>'Qtrly''s-Cntsht Book'!D8</f>
        <v>1339.2</v>
      </c>
      <c r="C7" s="725">
        <f>'Qtrly''s-Cntsht Book'!E8</f>
        <v>1341.6</v>
      </c>
      <c r="D7" s="725">
        <f>'Qtrly''s-Cntsht Book'!F8</f>
        <v>1366.96</v>
      </c>
      <c r="E7" s="726">
        <f>'Qtrly''s-Cntsht Book'!I8</f>
        <v>1414.5</v>
      </c>
      <c r="F7" s="726">
        <f>'Qtrly''s-Cntsht Book'!J8</f>
        <v>1423.5</v>
      </c>
      <c r="G7" s="726">
        <f>'Qtrly''s-Cntsht Book'!K8</f>
        <v>1450.9</v>
      </c>
      <c r="H7" s="726">
        <f>'Qtrly''s-Cntsht Book'!N8</f>
        <v>1442.9</v>
      </c>
      <c r="I7" s="726">
        <f>'Qtrly''s-Cntsht Book'!O8</f>
        <v>1433.1</v>
      </c>
      <c r="J7" s="726">
        <f>'Qtrly''s-Cntsht Book'!P8</f>
        <v>1427</v>
      </c>
      <c r="K7" s="726">
        <f>'Qtrly''s-Cntsht Book'!S8</f>
        <v>1293.7</v>
      </c>
      <c r="L7" s="726">
        <f>'Qtrly''s-Cntsht Book'!T8</f>
        <v>1155.9000000000001</v>
      </c>
      <c r="M7" s="726">
        <f>'Qtrly''s-Cntsht Book'!U8</f>
        <v>1099.4000000000001</v>
      </c>
      <c r="N7" s="647">
        <f>SUM(B7:M7)/12</f>
        <v>1349.0550000000001</v>
      </c>
      <c r="O7" s="395">
        <f t="shared" si="0"/>
        <v>493754.13</v>
      </c>
      <c r="R7" s="406"/>
      <c r="S7" s="414"/>
      <c r="T7" s="412"/>
      <c r="U7" s="412"/>
      <c r="V7" s="413"/>
    </row>
    <row r="8" spans="1:22" ht="23.45" customHeight="1" x14ac:dyDescent="0.25">
      <c r="A8" s="397" t="s">
        <v>206</v>
      </c>
      <c r="B8" s="725">
        <f>'Qtrly''s-Cntsht Book'!D9</f>
        <v>292.60000000000002</v>
      </c>
      <c r="C8" s="725">
        <f>'Qtrly''s-Cntsht Book'!E9</f>
        <v>298.89999999999998</v>
      </c>
      <c r="D8" s="725">
        <f>'Qtrly''s-Cntsht Book'!F9</f>
        <v>325.3</v>
      </c>
      <c r="E8" s="726">
        <f>'Qtrly''s-Cntsht Book'!I9</f>
        <v>337.5</v>
      </c>
      <c r="F8" s="726">
        <f>'Qtrly''s-Cntsht Book'!J9</f>
        <v>331</v>
      </c>
      <c r="G8" s="726">
        <f>'Qtrly''s-Cntsht Book'!K9</f>
        <v>315.39999999999998</v>
      </c>
      <c r="H8" s="726">
        <f>'Qtrly''s-Cntsht Book'!N9</f>
        <v>310.60000000000002</v>
      </c>
      <c r="I8" s="726">
        <f>'Qtrly''s-Cntsht Book'!O9</f>
        <v>295.7</v>
      </c>
      <c r="J8" s="726">
        <f>'Qtrly''s-Cntsht Book'!P9</f>
        <v>322.2</v>
      </c>
      <c r="K8" s="726">
        <f>'Qtrly''s-Cntsht Book'!S9</f>
        <v>272.60000000000002</v>
      </c>
      <c r="L8" s="726">
        <f>'Qtrly''s-Cntsht Book'!T9</f>
        <v>244.3</v>
      </c>
      <c r="M8" s="726">
        <f>'Qtrly''s-Cntsht Book'!U9</f>
        <v>257.89999999999998</v>
      </c>
      <c r="N8" s="647">
        <f t="shared" si="1"/>
        <v>300.33333333333331</v>
      </c>
      <c r="O8" s="395">
        <f t="shared" si="0"/>
        <v>109922</v>
      </c>
      <c r="R8" s="415"/>
      <c r="S8" s="414"/>
      <c r="T8" s="412"/>
      <c r="U8" s="412"/>
      <c r="V8" s="413"/>
    </row>
    <row r="9" spans="1:22" ht="23.45" customHeight="1" x14ac:dyDescent="0.25">
      <c r="A9" s="397" t="s">
        <v>15</v>
      </c>
      <c r="B9" s="725">
        <f>'Qtrly''s-Cntsht Book'!D10</f>
        <v>55.3</v>
      </c>
      <c r="C9" s="725">
        <f>'Qtrly''s-Cntsht Book'!E10</f>
        <v>61.6</v>
      </c>
      <c r="D9" s="725">
        <f>'Qtrly''s-Cntsht Book'!F10</f>
        <v>56</v>
      </c>
      <c r="E9" s="726">
        <f>'Qtrly''s-Cntsht Book'!I10</f>
        <v>61</v>
      </c>
      <c r="F9" s="726">
        <f>'Qtrly''s-Cntsht Book'!J10</f>
        <v>56.8</v>
      </c>
      <c r="G9" s="726">
        <f>'Qtrly''s-Cntsht Book'!K10</f>
        <v>59.9</v>
      </c>
      <c r="H9" s="726">
        <f>'Qtrly''s-Cntsht Book'!N10</f>
        <v>68.400000000000006</v>
      </c>
      <c r="I9" s="726">
        <f>'Qtrly''s-Cntsht Book'!O10</f>
        <v>68.400000000000006</v>
      </c>
      <c r="J9" s="726">
        <f>'Qtrly''s-Cntsht Book'!P10</f>
        <v>64.5</v>
      </c>
      <c r="K9" s="726">
        <f>'Qtrly''s-Cntsht Book'!S10</f>
        <v>47.2</v>
      </c>
      <c r="L9" s="726">
        <f>'Qtrly''s-Cntsht Book'!T10</f>
        <v>46.7</v>
      </c>
      <c r="M9" s="726">
        <f>'Qtrly''s-Cntsht Book'!U10</f>
        <v>53.4</v>
      </c>
      <c r="N9" s="647">
        <f t="shared" si="1"/>
        <v>58.266666666666673</v>
      </c>
      <c r="O9" s="395">
        <f t="shared" si="0"/>
        <v>21325.600000000002</v>
      </c>
      <c r="R9" s="406"/>
      <c r="S9" s="414"/>
      <c r="T9" s="412"/>
      <c r="U9" s="412"/>
      <c r="V9" s="413"/>
    </row>
    <row r="10" spans="1:22" ht="23.45" customHeight="1" x14ac:dyDescent="0.25">
      <c r="A10" s="397" t="s">
        <v>16</v>
      </c>
      <c r="B10" s="725">
        <f>'Qtrly''s-Cntsht Book'!D11</f>
        <v>242.6</v>
      </c>
      <c r="C10" s="725">
        <f>'Qtrly''s-Cntsht Book'!E11</f>
        <v>256.8</v>
      </c>
      <c r="D10" s="725">
        <f>'Qtrly''s-Cntsht Book'!F11</f>
        <v>254.1</v>
      </c>
      <c r="E10" s="726">
        <f>'Qtrly''s-Cntsht Book'!I11</f>
        <v>226.7</v>
      </c>
      <c r="F10" s="726">
        <f>'Qtrly''s-Cntsht Book'!J11</f>
        <v>223.8</v>
      </c>
      <c r="G10" s="726">
        <f>'Qtrly''s-Cntsht Book'!K11</f>
        <v>230.9</v>
      </c>
      <c r="H10" s="726">
        <f>'Qtrly''s-Cntsht Book'!N11</f>
        <v>224.7</v>
      </c>
      <c r="I10" s="726">
        <f>'Qtrly''s-Cntsht Book'!O11</f>
        <v>250.3</v>
      </c>
      <c r="J10" s="726">
        <f>'Qtrly''s-Cntsht Book'!P11</f>
        <v>245.9</v>
      </c>
      <c r="K10" s="726">
        <f>'Qtrly''s-Cntsht Book'!S11</f>
        <v>217</v>
      </c>
      <c r="L10" s="726">
        <f>'Qtrly''s-Cntsht Book'!T11</f>
        <v>214.2</v>
      </c>
      <c r="M10" s="726">
        <f>'Qtrly''s-Cntsht Book'!U11</f>
        <v>212.8</v>
      </c>
      <c r="N10" s="647">
        <f t="shared" si="1"/>
        <v>233.31666666666669</v>
      </c>
      <c r="O10" s="395">
        <f t="shared" si="0"/>
        <v>85393.900000000009</v>
      </c>
      <c r="R10" s="406"/>
      <c r="S10" s="414"/>
      <c r="T10" s="412"/>
      <c r="U10" s="412"/>
      <c r="V10" s="413"/>
    </row>
    <row r="11" spans="1:22" ht="23.45" customHeight="1" x14ac:dyDescent="0.25">
      <c r="A11" s="397" t="s">
        <v>122</v>
      </c>
      <c r="B11" s="725">
        <f>'Qtrly''s-Cntsht Book'!D12</f>
        <v>89.7</v>
      </c>
      <c r="C11" s="725">
        <f>'Qtrly''s-Cntsht Book'!E12</f>
        <v>84.6</v>
      </c>
      <c r="D11" s="725">
        <f>'Qtrly''s-Cntsht Book'!F12</f>
        <v>87.2</v>
      </c>
      <c r="E11" s="726">
        <f>'Qtrly''s-Cntsht Book'!I12</f>
        <v>88.7</v>
      </c>
      <c r="F11" s="726">
        <f>'Qtrly''s-Cntsht Book'!J12</f>
        <v>93.4</v>
      </c>
      <c r="G11" s="726">
        <f>'Qtrly''s-Cntsht Book'!K12</f>
        <v>93.2</v>
      </c>
      <c r="H11" s="726">
        <f>'Qtrly''s-Cntsht Book'!N12</f>
        <v>91.4</v>
      </c>
      <c r="I11" s="726">
        <f>'Qtrly''s-Cntsht Book'!O12</f>
        <v>100.8</v>
      </c>
      <c r="J11" s="726">
        <f>'Qtrly''s-Cntsht Book'!P12</f>
        <v>94.1</v>
      </c>
      <c r="K11" s="726">
        <f>'Qtrly''s-Cntsht Book'!S12</f>
        <v>79.599999999999994</v>
      </c>
      <c r="L11" s="726">
        <f>'Qtrly''s-Cntsht Book'!T12</f>
        <v>89</v>
      </c>
      <c r="M11" s="726">
        <f>'Qtrly''s-Cntsht Book'!U12</f>
        <v>93.4</v>
      </c>
      <c r="N11" s="647">
        <f t="shared" si="1"/>
        <v>90.425000000000011</v>
      </c>
      <c r="O11" s="395">
        <f t="shared" si="0"/>
        <v>33095.550000000003</v>
      </c>
      <c r="R11" s="406"/>
      <c r="S11" s="414"/>
      <c r="T11" s="412"/>
      <c r="U11" s="412"/>
      <c r="V11" s="413"/>
    </row>
    <row r="12" spans="1:22" ht="23.45" customHeight="1" x14ac:dyDescent="0.25">
      <c r="A12" s="397" t="s">
        <v>18</v>
      </c>
      <c r="B12" s="725">
        <f>'Qtrly''s-Cntsht Book'!D13</f>
        <v>0</v>
      </c>
      <c r="C12" s="725">
        <f>'Qtrly''s-Cntsht Book'!E13</f>
        <v>0</v>
      </c>
      <c r="D12" s="725">
        <f>'Qtrly''s-Cntsht Book'!F13</f>
        <v>0</v>
      </c>
      <c r="E12" s="726">
        <f>'Qtrly''s-Cntsht Book'!I13</f>
        <v>0</v>
      </c>
      <c r="F12" s="726">
        <f>'Qtrly''s-Cntsht Book'!J13</f>
        <v>0</v>
      </c>
      <c r="G12" s="726">
        <f>'Qtrly''s-Cntsht Book'!K13</f>
        <v>0</v>
      </c>
      <c r="H12" s="726">
        <f>'Qtrly''s-Cntsht Book'!N13</f>
        <v>0</v>
      </c>
      <c r="I12" s="726">
        <f>'Qtrly''s-Cntsht Book'!O13</f>
        <v>0</v>
      </c>
      <c r="J12" s="726">
        <f>'Qtrly''s-Cntsht Book'!P13</f>
        <v>0</v>
      </c>
      <c r="K12" s="726">
        <f>'Qtrly''s-Cntsht Book'!S13</f>
        <v>0</v>
      </c>
      <c r="L12" s="726">
        <f>'Qtrly''s-Cntsht Book'!T13</f>
        <v>0</v>
      </c>
      <c r="M12" s="726">
        <f>'Qtrly''s-Cntsht Book'!U13</f>
        <v>0</v>
      </c>
      <c r="N12" s="647">
        <f>SUM(B12:M12)/4</f>
        <v>0</v>
      </c>
      <c r="O12" s="395">
        <f t="shared" si="0"/>
        <v>0</v>
      </c>
      <c r="R12" s="415"/>
      <c r="S12" s="414"/>
      <c r="T12" s="412"/>
      <c r="U12" s="412"/>
      <c r="V12" s="413"/>
    </row>
    <row r="13" spans="1:22" ht="23.45" customHeight="1" x14ac:dyDescent="0.25">
      <c r="A13" s="397" t="s">
        <v>130</v>
      </c>
      <c r="B13" s="725">
        <f>'Qtrly''s-Cntsht Book'!D14</f>
        <v>100</v>
      </c>
      <c r="C13" s="725">
        <f>'Qtrly''s-Cntsht Book'!E14</f>
        <v>98.9</v>
      </c>
      <c r="D13" s="725">
        <f>'Qtrly''s-Cntsht Book'!F14</f>
        <v>89.8</v>
      </c>
      <c r="E13" s="726">
        <f>'Qtrly''s-Cntsht Book'!I14</f>
        <v>87.5</v>
      </c>
      <c r="F13" s="726">
        <f>'Qtrly''s-Cntsht Book'!J14</f>
        <v>80.400000000000006</v>
      </c>
      <c r="G13" s="726">
        <f>'Qtrly''s-Cntsht Book'!K14</f>
        <v>73.5</v>
      </c>
      <c r="H13" s="726">
        <f>'Qtrly''s-Cntsht Book'!N14</f>
        <v>74.900000000000006</v>
      </c>
      <c r="I13" s="726">
        <f>'Qtrly''s-Cntsht Book'!O14</f>
        <v>68.099999999999994</v>
      </c>
      <c r="J13" s="726">
        <f>'Qtrly''s-Cntsht Book'!P14</f>
        <v>75.8</v>
      </c>
      <c r="K13" s="726">
        <f>'Qtrly''s-Cntsht Book'!S14</f>
        <v>76.099999999999994</v>
      </c>
      <c r="L13" s="726">
        <f>'Qtrly''s-Cntsht Book'!T14</f>
        <v>64.900000000000006</v>
      </c>
      <c r="M13" s="726">
        <f>'Qtrly''s-Cntsht Book'!U14</f>
        <v>62.9</v>
      </c>
      <c r="N13" s="647">
        <f t="shared" si="1"/>
        <v>79.399999999999991</v>
      </c>
      <c r="O13" s="395">
        <f t="shared" si="0"/>
        <v>29060.399999999998</v>
      </c>
      <c r="R13" s="406"/>
      <c r="S13" s="416"/>
      <c r="T13" s="412"/>
      <c r="U13" s="412"/>
      <c r="V13" s="413"/>
    </row>
    <row r="14" spans="1:22" ht="23.45" customHeight="1" x14ac:dyDescent="0.25">
      <c r="A14" s="396" t="s">
        <v>19</v>
      </c>
      <c r="B14" s="725">
        <f>'Qtrly''s-Cntsht Book'!D15</f>
        <v>475.2</v>
      </c>
      <c r="C14" s="725">
        <f>'Qtrly''s-Cntsht Book'!E15</f>
        <v>488.9</v>
      </c>
      <c r="D14" s="725">
        <f>'Qtrly''s-Cntsht Book'!F15</f>
        <v>492.6</v>
      </c>
      <c r="E14" s="726">
        <f>'Qtrly''s-Cntsht Book'!I15</f>
        <v>502.4</v>
      </c>
      <c r="F14" s="726">
        <f>'Qtrly''s-Cntsht Book'!J15</f>
        <v>512.9</v>
      </c>
      <c r="G14" s="726">
        <f>'Qtrly''s-Cntsht Book'!K15</f>
        <v>535.9</v>
      </c>
      <c r="H14" s="726">
        <f>'Qtrly''s-Cntsht Book'!N15</f>
        <v>533.1</v>
      </c>
      <c r="I14" s="726">
        <f>'Qtrly''s-Cntsht Book'!O15</f>
        <v>533.4</v>
      </c>
      <c r="J14" s="726">
        <f>'Qtrly''s-Cntsht Book'!P15</f>
        <v>543.1</v>
      </c>
      <c r="K14" s="726">
        <f>'Qtrly''s-Cntsht Book'!S15</f>
        <v>529.5</v>
      </c>
      <c r="L14" s="726">
        <f>'Qtrly''s-Cntsht Book'!T15</f>
        <v>515.70000000000005</v>
      </c>
      <c r="M14" s="726">
        <f>'Qtrly''s-Cntsht Book'!U15</f>
        <v>514.79999999999995</v>
      </c>
      <c r="N14" s="647">
        <f t="shared" si="1"/>
        <v>514.79166666666663</v>
      </c>
      <c r="O14" s="395">
        <f t="shared" si="0"/>
        <v>188413.75</v>
      </c>
      <c r="R14" s="406"/>
      <c r="S14" s="414"/>
      <c r="T14" s="412"/>
      <c r="U14" s="412"/>
      <c r="V14" s="413"/>
    </row>
    <row r="15" spans="1:22" ht="23.45" customHeight="1" x14ac:dyDescent="0.25">
      <c r="A15" s="397" t="s">
        <v>25</v>
      </c>
      <c r="B15" s="725">
        <f>'Qtrly''s-Cntsht Book'!D16</f>
        <v>423.5</v>
      </c>
      <c r="C15" s="725">
        <f>'Qtrly''s-Cntsht Book'!E16</f>
        <v>440.1</v>
      </c>
      <c r="D15" s="725">
        <f>'Qtrly''s-Cntsht Book'!F16</f>
        <v>459.70000000000005</v>
      </c>
      <c r="E15" s="726">
        <f>'Qtrly''s-Cntsht Book'!I16</f>
        <v>444.79999999999995</v>
      </c>
      <c r="F15" s="726">
        <f>'Qtrly''s-Cntsht Book'!J16</f>
        <v>449.3</v>
      </c>
      <c r="G15" s="726">
        <f>'Qtrly''s-Cntsht Book'!K16</f>
        <v>462.9</v>
      </c>
      <c r="H15" s="726">
        <f>'Qtrly''s-Cntsht Book'!N16</f>
        <v>467.4</v>
      </c>
      <c r="I15" s="726">
        <f>'Qtrly''s-Cntsht Book'!O16</f>
        <v>467.59999999999997</v>
      </c>
      <c r="J15" s="726">
        <f>'Qtrly''s-Cntsht Book'!P16</f>
        <v>460.20000000000005</v>
      </c>
      <c r="K15" s="726">
        <f>'Qtrly''s-Cntsht Book'!S16</f>
        <v>417.2</v>
      </c>
      <c r="L15" s="726">
        <f>'Qtrly''s-Cntsht Book'!T16</f>
        <v>412.20000000000005</v>
      </c>
      <c r="M15" s="726">
        <f>'Qtrly''s-Cntsht Book'!U16</f>
        <v>408.7</v>
      </c>
      <c r="N15" s="647">
        <f t="shared" si="1"/>
        <v>442.79999999999995</v>
      </c>
      <c r="O15" s="395">
        <f t="shared" si="0"/>
        <v>162064.79999999999</v>
      </c>
      <c r="R15" s="415"/>
      <c r="S15" s="414"/>
      <c r="T15" s="412"/>
      <c r="U15" s="412"/>
      <c r="V15" s="413"/>
    </row>
    <row r="16" spans="1:22" ht="23.45" customHeight="1" x14ac:dyDescent="0.25">
      <c r="A16" s="397" t="s">
        <v>123</v>
      </c>
      <c r="B16" s="725">
        <f>'Qtrly''s-Cntsht Book'!D17</f>
        <v>202.5</v>
      </c>
      <c r="C16" s="725">
        <f>'Qtrly''s-Cntsht Book'!E17</f>
        <v>197</v>
      </c>
      <c r="D16" s="725">
        <f>'Qtrly''s-Cntsht Book'!F17</f>
        <v>204.6</v>
      </c>
      <c r="E16" s="726">
        <f>'Qtrly''s-Cntsht Book'!I17</f>
        <v>223.9</v>
      </c>
      <c r="F16" s="726">
        <f>'Qtrly''s-Cntsht Book'!J17</f>
        <v>214.6</v>
      </c>
      <c r="G16" s="726">
        <f>'Qtrly''s-Cntsht Book'!K17</f>
        <v>215.5</v>
      </c>
      <c r="H16" s="726">
        <f>'Qtrly''s-Cntsht Book'!N17</f>
        <v>223.9</v>
      </c>
      <c r="I16" s="726">
        <f>'Qtrly''s-Cntsht Book'!O17</f>
        <v>213.6</v>
      </c>
      <c r="J16" s="726">
        <f>'Qtrly''s-Cntsht Book'!P17</f>
        <v>208.9</v>
      </c>
      <c r="K16" s="726">
        <f>'Qtrly''s-Cntsht Book'!S17</f>
        <v>175.6</v>
      </c>
      <c r="L16" s="726">
        <f>'Qtrly''s-Cntsht Book'!T17</f>
        <v>176.4</v>
      </c>
      <c r="M16" s="726">
        <f>'Qtrly''s-Cntsht Book'!U17</f>
        <v>187.8</v>
      </c>
      <c r="N16" s="647">
        <f t="shared" si="1"/>
        <v>203.69166666666669</v>
      </c>
      <c r="O16" s="395">
        <f t="shared" si="0"/>
        <v>74551.150000000009</v>
      </c>
      <c r="R16" s="406"/>
      <c r="S16" s="414"/>
      <c r="T16" s="412"/>
      <c r="U16" s="412"/>
      <c r="V16" s="413"/>
    </row>
    <row r="17" spans="1:22" ht="23.45" customHeight="1" thickBot="1" x14ac:dyDescent="0.3">
      <c r="A17" s="397" t="s">
        <v>124</v>
      </c>
      <c r="B17" s="725">
        <f>'Qtrly''s-Cntsht Book'!D18</f>
        <v>0</v>
      </c>
      <c r="C17" s="725">
        <f>'Qtrly''s-Cntsht Book'!E18</f>
        <v>0</v>
      </c>
      <c r="D17" s="725">
        <f>'Qtrly''s-Cntsht Book'!F18</f>
        <v>0</v>
      </c>
      <c r="E17" s="726">
        <f>'Qtrly''s-Cntsht Book'!I18</f>
        <v>0</v>
      </c>
      <c r="F17" s="726">
        <f>'Qtrly''s-Cntsht Book'!J18</f>
        <v>0</v>
      </c>
      <c r="G17" s="726">
        <f>'Qtrly''s-Cntsht Book'!K18</f>
        <v>0</v>
      </c>
      <c r="H17" s="726">
        <f>'Qtrly''s-Cntsht Book'!N18</f>
        <v>0</v>
      </c>
      <c r="I17" s="726">
        <f>'Qtrly''s-Cntsht Book'!O18</f>
        <v>0</v>
      </c>
      <c r="J17" s="726">
        <f>'Qtrly''s-Cntsht Book'!P18</f>
        <v>0</v>
      </c>
      <c r="K17" s="726" t="str">
        <f>'Qtrly''s-Cntsht Book'!S18</f>
        <v>-</v>
      </c>
      <c r="L17" s="726" t="str">
        <f>'Qtrly''s-Cntsht Book'!T18</f>
        <v>-</v>
      </c>
      <c r="M17" s="726" t="str">
        <f>'Qtrly''s-Cntsht Book'!U18</f>
        <v>-</v>
      </c>
      <c r="N17" s="648">
        <f t="shared" si="1"/>
        <v>0</v>
      </c>
      <c r="O17" s="395">
        <f t="shared" si="0"/>
        <v>0</v>
      </c>
      <c r="R17" s="406"/>
      <c r="S17" s="417"/>
      <c r="T17" s="412"/>
      <c r="U17" s="412"/>
      <c r="V17" s="418"/>
    </row>
    <row r="18" spans="1:22" ht="23.45" customHeight="1" thickBot="1" x14ac:dyDescent="0.3">
      <c r="A18" s="472" t="s">
        <v>131</v>
      </c>
      <c r="B18" s="509">
        <f>SUM(B4:B17)</f>
        <v>4475.2999999999993</v>
      </c>
      <c r="C18" s="509">
        <f t="shared" ref="C18:L18" si="2">SUM(C4:C17)</f>
        <v>4553.1000000000004</v>
      </c>
      <c r="D18" s="509">
        <f t="shared" si="2"/>
        <v>4663.8600000000006</v>
      </c>
      <c r="E18" s="509">
        <f t="shared" si="2"/>
        <v>4688.6999999999989</v>
      </c>
      <c r="F18" s="509">
        <f t="shared" si="2"/>
        <v>4687.7000000000007</v>
      </c>
      <c r="G18" s="509">
        <f t="shared" si="2"/>
        <v>4708</v>
      </c>
      <c r="H18" s="509">
        <f t="shared" si="2"/>
        <v>4710.2999999999993</v>
      </c>
      <c r="I18" s="509">
        <f t="shared" si="2"/>
        <v>4724.5000000000009</v>
      </c>
      <c r="J18" s="509">
        <f t="shared" si="2"/>
        <v>4716.3999999999996</v>
      </c>
      <c r="K18" s="509">
        <f t="shared" si="2"/>
        <v>4276.5</v>
      </c>
      <c r="L18" s="509">
        <f t="shared" si="2"/>
        <v>4149.3999999999996</v>
      </c>
      <c r="M18" s="509">
        <f>SUM(M4:M17)</f>
        <v>4208.3</v>
      </c>
      <c r="N18" s="646">
        <f>SUM(B18:M18)/12</f>
        <v>4546.838333333334</v>
      </c>
      <c r="O18" s="473">
        <f>SUM(O4:O17)</f>
        <v>1664142.8299999998</v>
      </c>
    </row>
    <row r="19" spans="1:22" ht="31.9" customHeight="1" thickBot="1" x14ac:dyDescent="0.3">
      <c r="A19" s="497" t="s">
        <v>132</v>
      </c>
      <c r="B19" s="498"/>
      <c r="C19" s="498"/>
      <c r="D19" s="498"/>
      <c r="E19" s="498"/>
      <c r="F19" s="499"/>
      <c r="G19" s="498"/>
      <c r="H19" s="498"/>
      <c r="I19" s="498"/>
      <c r="J19" s="498"/>
      <c r="K19" s="498"/>
      <c r="L19" s="498"/>
      <c r="M19" s="498"/>
      <c r="N19" s="500"/>
      <c r="O19" s="501" t="s">
        <v>0</v>
      </c>
    </row>
    <row r="20" spans="1:22" ht="23.45" customHeight="1" x14ac:dyDescent="0.25">
      <c r="A20" s="396" t="s">
        <v>125</v>
      </c>
      <c r="B20" s="399">
        <f>'Qtrly''s-Cntsht Book'!D21</f>
        <v>239.78</v>
      </c>
      <c r="C20" s="399">
        <f>'Qtrly''s-Cntsht Book'!E21</f>
        <v>239.77</v>
      </c>
      <c r="D20" s="399">
        <f>'Qtrly''s-Cntsht Book'!F21</f>
        <v>240.8</v>
      </c>
      <c r="E20" s="399">
        <f>'Qtrly''s-Cntsht Book'!I21</f>
        <v>239.29</v>
      </c>
      <c r="F20" s="399">
        <f>'Qtrly''s-Cntsht Book'!J21</f>
        <v>201.73</v>
      </c>
      <c r="G20" s="399">
        <f>'Qtrly''s-Cntsht Book'!K21</f>
        <v>201.73</v>
      </c>
      <c r="H20" s="399">
        <f>'Qtrly''s-Cntsht Book'!N21</f>
        <v>248.16</v>
      </c>
      <c r="I20" s="399">
        <f>'Qtrly''s-Cntsht Book'!O21</f>
        <v>270.89999999999998</v>
      </c>
      <c r="J20" s="399">
        <f>'Qtrly''s-Cntsht Book'!P21</f>
        <v>259.70999999999998</v>
      </c>
      <c r="K20" s="399">
        <f>'Qtrly''s-Cntsht Book'!S21</f>
        <v>267.89999999999998</v>
      </c>
      <c r="L20" s="399">
        <f>'Qtrly''s-Cntsht Book'!T21</f>
        <v>268.87</v>
      </c>
      <c r="M20" s="399">
        <f>'Qtrly''s-Cntsht Book'!U21</f>
        <v>275.37</v>
      </c>
      <c r="N20" s="394">
        <f t="shared" ref="N20:N27" si="3">SUM(B20:M20)/12</f>
        <v>246.16749999999999</v>
      </c>
      <c r="O20" s="395">
        <f>N20*366</f>
        <v>90097.304999999993</v>
      </c>
    </row>
    <row r="21" spans="1:22" ht="23.45" customHeight="1" x14ac:dyDescent="0.25">
      <c r="A21" s="397" t="s">
        <v>126</v>
      </c>
      <c r="B21" s="399">
        <f>'Qtrly''s-Cntsht Book'!D22</f>
        <v>0</v>
      </c>
      <c r="C21" s="399">
        <f>'Qtrly''s-Cntsht Book'!E22</f>
        <v>0</v>
      </c>
      <c r="D21" s="399">
        <f>'Qtrly''s-Cntsht Book'!F22</f>
        <v>0</v>
      </c>
      <c r="E21" s="399">
        <f>'Qtrly''s-Cntsht Book'!I22</f>
        <v>0</v>
      </c>
      <c r="F21" s="399">
        <f>'Qtrly''s-Cntsht Book'!J22</f>
        <v>0</v>
      </c>
      <c r="G21" s="399">
        <f>'Qtrly''s-Cntsht Book'!K22</f>
        <v>0</v>
      </c>
      <c r="H21" s="399">
        <f>'Qtrly''s-Cntsht Book'!N22</f>
        <v>0</v>
      </c>
      <c r="I21" s="399">
        <f>'Qtrly''s-Cntsht Book'!O22</f>
        <v>0</v>
      </c>
      <c r="J21" s="399">
        <f>'Qtrly''s-Cntsht Book'!P22</f>
        <v>0</v>
      </c>
      <c r="K21" s="399">
        <f>'Qtrly''s-Cntsht Book'!S22</f>
        <v>0</v>
      </c>
      <c r="L21" s="399">
        <f>'Qtrly''s-Cntsht Book'!T22</f>
        <v>0</v>
      </c>
      <c r="M21" s="399">
        <f>'Qtrly''s-Cntsht Book'!U22</f>
        <v>0</v>
      </c>
      <c r="N21" s="394">
        <f t="shared" si="3"/>
        <v>0</v>
      </c>
      <c r="O21" s="395">
        <f t="shared" ref="O21:O27" si="4">N21*366</f>
        <v>0</v>
      </c>
    </row>
    <row r="22" spans="1:22" ht="23.45" customHeight="1" x14ac:dyDescent="0.25">
      <c r="A22" s="397" t="s">
        <v>128</v>
      </c>
      <c r="B22" s="399">
        <f>'Qtrly''s-Cntsht Book'!D23</f>
        <v>11.87</v>
      </c>
      <c r="C22" s="399">
        <f>'Qtrly''s-Cntsht Book'!E23</f>
        <v>11.87</v>
      </c>
      <c r="D22" s="399">
        <f>'Qtrly''s-Cntsht Book'!F23</f>
        <v>9.24</v>
      </c>
      <c r="E22" s="399">
        <f>'Qtrly''s-Cntsht Book'!I23</f>
        <v>8.9</v>
      </c>
      <c r="F22" s="399">
        <f>'Qtrly''s-Cntsht Book'!J23</f>
        <v>9.1300000000000008</v>
      </c>
      <c r="G22" s="399">
        <f>'Qtrly''s-Cntsht Book'!K23</f>
        <v>9.1300000000000008</v>
      </c>
      <c r="H22" s="399">
        <f>'Qtrly''s-Cntsht Book'!N23</f>
        <v>6.94</v>
      </c>
      <c r="I22" s="399">
        <f>'Qtrly''s-Cntsht Book'!O23</f>
        <v>7.83</v>
      </c>
      <c r="J22" s="399">
        <f>'Qtrly''s-Cntsht Book'!P23</f>
        <v>8.61</v>
      </c>
      <c r="K22" s="399">
        <f>'Qtrly''s-Cntsht Book'!S23</f>
        <v>11.27</v>
      </c>
      <c r="L22" s="399">
        <f>'Qtrly''s-Cntsht Book'!T23</f>
        <v>13.61</v>
      </c>
      <c r="M22" s="399">
        <f>'Qtrly''s-Cntsht Book'!U23</f>
        <v>11.6</v>
      </c>
      <c r="N22" s="394">
        <f t="shared" si="3"/>
        <v>9.9999999999999982</v>
      </c>
      <c r="O22" s="395">
        <f t="shared" si="4"/>
        <v>3659.9999999999995</v>
      </c>
    </row>
    <row r="23" spans="1:22" ht="23.45" customHeight="1" x14ac:dyDescent="0.25">
      <c r="A23" s="397" t="s">
        <v>127</v>
      </c>
      <c r="B23" s="399">
        <f>'Qtrly''s-Cntsht Book'!D24</f>
        <v>153</v>
      </c>
      <c r="C23" s="399">
        <f>'Qtrly''s-Cntsht Book'!E24</f>
        <v>153</v>
      </c>
      <c r="D23" s="399">
        <f>'Qtrly''s-Cntsht Book'!F24</f>
        <v>150</v>
      </c>
      <c r="E23" s="399">
        <f>'Qtrly''s-Cntsht Book'!I24</f>
        <v>137</v>
      </c>
      <c r="F23" s="399">
        <f>'Qtrly''s-Cntsht Book'!J24</f>
        <v>140</v>
      </c>
      <c r="G23" s="399">
        <f>'Qtrly''s-Cntsht Book'!K24</f>
        <v>140</v>
      </c>
      <c r="H23" s="399">
        <f>'Qtrly''s-Cntsht Book'!N24</f>
        <v>141</v>
      </c>
      <c r="I23" s="399">
        <f>'Qtrly''s-Cntsht Book'!O24</f>
        <v>153</v>
      </c>
      <c r="J23" s="399">
        <f>'Qtrly''s-Cntsht Book'!P24</f>
        <v>169</v>
      </c>
      <c r="K23" s="399">
        <f>'Qtrly''s-Cntsht Book'!S24</f>
        <v>168</v>
      </c>
      <c r="L23" s="399">
        <f>'Qtrly''s-Cntsht Book'!T24</f>
        <v>156</v>
      </c>
      <c r="M23" s="399">
        <f>'Qtrly''s-Cntsht Book'!U24</f>
        <v>161</v>
      </c>
      <c r="N23" s="394">
        <f>SUM(B23:M23)/12</f>
        <v>151.75</v>
      </c>
      <c r="O23" s="395">
        <f t="shared" si="4"/>
        <v>55540.5</v>
      </c>
    </row>
    <row r="24" spans="1:22" ht="23.45" customHeight="1" x14ac:dyDescent="0.25">
      <c r="A24" s="397" t="s">
        <v>760</v>
      </c>
      <c r="B24" s="399">
        <f>'Qtrly''s-Cntsht Book'!D25</f>
        <v>3</v>
      </c>
      <c r="C24" s="399">
        <f>'Qtrly''s-Cntsht Book'!E25</f>
        <v>3</v>
      </c>
      <c r="D24" s="399">
        <f>'Qtrly''s-Cntsht Book'!F25</f>
        <v>1</v>
      </c>
      <c r="E24" s="399">
        <f>'Qtrly''s-Cntsht Book'!I25</f>
        <v>0</v>
      </c>
      <c r="F24" s="399">
        <f>'Qtrly''s-Cntsht Book'!J25</f>
        <v>0</v>
      </c>
      <c r="G24" s="399">
        <f>'Qtrly''s-Cntsht Book'!K25</f>
        <v>0</v>
      </c>
      <c r="H24" s="399">
        <f>'Qtrly''s-Cntsht Book'!N25</f>
        <v>0</v>
      </c>
      <c r="I24" s="399">
        <f>'Qtrly''s-Cntsht Book'!O25</f>
        <v>0</v>
      </c>
      <c r="J24" s="399">
        <f>'Qtrly''s-Cntsht Book'!P25</f>
        <v>0</v>
      </c>
      <c r="K24" s="399">
        <f>'Qtrly''s-Cntsht Book'!S25</f>
        <v>0</v>
      </c>
      <c r="L24" s="399">
        <f>'Qtrly''s-Cntsht Book'!T25</f>
        <v>0</v>
      </c>
      <c r="M24" s="399">
        <f>'Qtrly''s-Cntsht Book'!U25</f>
        <v>0</v>
      </c>
      <c r="N24" s="394">
        <f t="shared" ref="N24:N25" si="5">SUM(B24:M24)/12</f>
        <v>0.58333333333333337</v>
      </c>
      <c r="O24" s="395">
        <f t="shared" si="4"/>
        <v>213.5</v>
      </c>
    </row>
    <row r="25" spans="1:22" ht="23.45" customHeight="1" x14ac:dyDescent="0.25">
      <c r="A25" s="397" t="s">
        <v>761</v>
      </c>
      <c r="B25" s="399">
        <f>'Qtrly''s-Cntsht Book'!D26</f>
        <v>1048</v>
      </c>
      <c r="C25" s="399">
        <f>'Qtrly''s-Cntsht Book'!E26</f>
        <v>1048</v>
      </c>
      <c r="D25" s="399">
        <f>'Qtrly''s-Cntsht Book'!F26</f>
        <v>1121</v>
      </c>
      <c r="E25" s="399">
        <f>'Qtrly''s-Cntsht Book'!I26</f>
        <v>1121</v>
      </c>
      <c r="F25" s="399">
        <f>'Qtrly''s-Cntsht Book'!J26</f>
        <v>1121</v>
      </c>
      <c r="G25" s="399">
        <f>'Qtrly''s-Cntsht Book'!K26</f>
        <v>1121</v>
      </c>
      <c r="H25" s="399">
        <f>'Qtrly''s-Cntsht Book'!N26</f>
        <v>1121</v>
      </c>
      <c r="I25" s="399">
        <f>'Qtrly''s-Cntsht Book'!O26</f>
        <v>1121</v>
      </c>
      <c r="J25" s="399">
        <f>'Qtrly''s-Cntsht Book'!P26</f>
        <v>1121</v>
      </c>
      <c r="K25" s="399">
        <f>'Qtrly''s-Cntsht Book'!S26</f>
        <v>1133</v>
      </c>
      <c r="L25" s="399">
        <f>'Qtrly''s-Cntsht Book'!T26</f>
        <v>1121</v>
      </c>
      <c r="M25" s="399">
        <f>'Qtrly''s-Cntsht Book'!U26</f>
        <v>1121</v>
      </c>
      <c r="N25" s="394">
        <f t="shared" si="5"/>
        <v>1109.8333333333333</v>
      </c>
      <c r="O25" s="395">
        <f t="shared" si="4"/>
        <v>406199</v>
      </c>
    </row>
    <row r="26" spans="1:22" ht="23.45" customHeight="1" x14ac:dyDescent="0.25">
      <c r="A26" s="397" t="s">
        <v>286</v>
      </c>
      <c r="B26" s="399" t="str">
        <f>'Qtrly''s-Cntsht Book'!D27</f>
        <v>N/A</v>
      </c>
      <c r="C26" s="399" t="str">
        <f>'Qtrly''s-Cntsht Book'!E27</f>
        <v>N/A</v>
      </c>
      <c r="D26" s="399" t="str">
        <f>'Qtrly''s-Cntsht Book'!F27</f>
        <v>N/A</v>
      </c>
      <c r="E26" s="399" t="str">
        <f>'Qtrly''s-Cntsht Book'!I27</f>
        <v>N/A</v>
      </c>
      <c r="F26" s="399" t="str">
        <f>'Qtrly''s-Cntsht Book'!J27</f>
        <v>N/A</v>
      </c>
      <c r="G26" s="399" t="str">
        <f>'Qtrly''s-Cntsht Book'!K27</f>
        <v>N/A</v>
      </c>
      <c r="H26" s="399" t="str">
        <f>'Qtrly''s-Cntsht Book'!N27</f>
        <v>N/A</v>
      </c>
      <c r="I26" s="399" t="str">
        <f>'Qtrly''s-Cntsht Book'!O27</f>
        <v>N/A</v>
      </c>
      <c r="J26" s="399" t="str">
        <f>'Qtrly''s-Cntsht Book'!P27</f>
        <v>N/A</v>
      </c>
      <c r="K26" s="399" t="str">
        <f>'Qtrly''s-Cntsht Book'!S27</f>
        <v>N/A</v>
      </c>
      <c r="L26" s="399" t="str">
        <f>'Qtrly''s-Cntsht Book'!T27</f>
        <v>N/A</v>
      </c>
      <c r="M26" s="399" t="str">
        <f>'Qtrly''s-Cntsht Book'!U27</f>
        <v>N/A</v>
      </c>
      <c r="N26" s="394">
        <f>SUM(B26:M26)/12</f>
        <v>0</v>
      </c>
      <c r="O26" s="395">
        <f t="shared" si="4"/>
        <v>0</v>
      </c>
    </row>
    <row r="27" spans="1:22" ht="23.45" customHeight="1" thickBot="1" x14ac:dyDescent="0.3">
      <c r="A27" s="397" t="s">
        <v>129</v>
      </c>
      <c r="B27" s="399">
        <f>'Qtrly''s-Cntsht Book'!D28</f>
        <v>12</v>
      </c>
      <c r="C27" s="399">
        <f>'Qtrly''s-Cntsht Book'!E28</f>
        <v>12</v>
      </c>
      <c r="D27" s="399">
        <f>'Qtrly''s-Cntsht Book'!F28</f>
        <v>11</v>
      </c>
      <c r="E27" s="399">
        <f>'Qtrly''s-Cntsht Book'!I28</f>
        <v>12</v>
      </c>
      <c r="F27" s="399">
        <f>'Qtrly''s-Cntsht Book'!J28</f>
        <v>12</v>
      </c>
      <c r="G27" s="399">
        <f>'Qtrly''s-Cntsht Book'!K28</f>
        <v>12</v>
      </c>
      <c r="H27" s="399">
        <f>'Qtrly''s-Cntsht Book'!N28</f>
        <v>11</v>
      </c>
      <c r="I27" s="399">
        <f>'Qtrly''s-Cntsht Book'!O28</f>
        <v>11</v>
      </c>
      <c r="J27" s="399">
        <f>'Qtrly''s-Cntsht Book'!P28</f>
        <v>11</v>
      </c>
      <c r="K27" s="399">
        <f>'Qtrly''s-Cntsht Book'!S28</f>
        <v>11</v>
      </c>
      <c r="L27" s="399">
        <f>'Qtrly''s-Cntsht Book'!T28</f>
        <v>11</v>
      </c>
      <c r="M27" s="399">
        <f>'Qtrly''s-Cntsht Book'!U28</f>
        <v>11</v>
      </c>
      <c r="N27" s="394">
        <f t="shared" si="3"/>
        <v>11.416666666666666</v>
      </c>
      <c r="O27" s="395">
        <f t="shared" si="4"/>
        <v>4178.5</v>
      </c>
    </row>
    <row r="28" spans="1:22" ht="23.45" customHeight="1" thickBot="1" x14ac:dyDescent="0.3">
      <c r="A28" s="474" t="s">
        <v>133</v>
      </c>
      <c r="B28" s="475">
        <f t="shared" ref="B28:O28" si="6">SUM(B20:B27)</f>
        <v>1467.65</v>
      </c>
      <c r="C28" s="475">
        <f t="shared" si="6"/>
        <v>1467.6399999999999</v>
      </c>
      <c r="D28" s="475">
        <f t="shared" si="6"/>
        <v>1533.04</v>
      </c>
      <c r="E28" s="475">
        <f t="shared" si="6"/>
        <v>1518.19</v>
      </c>
      <c r="F28" s="475">
        <f t="shared" si="6"/>
        <v>1483.8600000000001</v>
      </c>
      <c r="G28" s="475">
        <f t="shared" si="6"/>
        <v>1483.8600000000001</v>
      </c>
      <c r="H28" s="475">
        <f t="shared" si="6"/>
        <v>1528.1</v>
      </c>
      <c r="I28" s="475">
        <f t="shared" si="6"/>
        <v>1563.73</v>
      </c>
      <c r="J28" s="475">
        <f t="shared" si="6"/>
        <v>1569.32</v>
      </c>
      <c r="K28" s="475">
        <f t="shared" si="6"/>
        <v>1591.17</v>
      </c>
      <c r="L28" s="475">
        <f t="shared" si="6"/>
        <v>1570.48</v>
      </c>
      <c r="M28" s="475">
        <f t="shared" si="6"/>
        <v>1579.97</v>
      </c>
      <c r="N28" s="473">
        <f t="shared" si="6"/>
        <v>1529.7508333333333</v>
      </c>
      <c r="O28" s="473">
        <f t="shared" si="6"/>
        <v>559888.80499999993</v>
      </c>
    </row>
    <row r="29" spans="1:22" ht="28.15" customHeight="1" thickBot="1" x14ac:dyDescent="0.3">
      <c r="A29" s="502" t="s">
        <v>137</v>
      </c>
      <c r="B29" s="503">
        <f t="shared" ref="B29:M29" si="7">B18+B28</f>
        <v>5942.9499999999989</v>
      </c>
      <c r="C29" s="503">
        <f t="shared" si="7"/>
        <v>6020.74</v>
      </c>
      <c r="D29" s="503">
        <f t="shared" si="7"/>
        <v>6196.9000000000005</v>
      </c>
      <c r="E29" s="503">
        <f t="shared" si="7"/>
        <v>6206.8899999999994</v>
      </c>
      <c r="F29" s="503">
        <f t="shared" si="7"/>
        <v>6171.5600000000013</v>
      </c>
      <c r="G29" s="503">
        <f t="shared" si="7"/>
        <v>6191.8600000000006</v>
      </c>
      <c r="H29" s="503">
        <f t="shared" si="7"/>
        <v>6238.4</v>
      </c>
      <c r="I29" s="503">
        <f t="shared" si="7"/>
        <v>6288.2300000000014</v>
      </c>
      <c r="J29" s="503">
        <f t="shared" si="7"/>
        <v>6285.7199999999993</v>
      </c>
      <c r="K29" s="503">
        <f t="shared" si="7"/>
        <v>5867.67</v>
      </c>
      <c r="L29" s="503">
        <f t="shared" si="7"/>
        <v>5719.8799999999992</v>
      </c>
      <c r="M29" s="503">
        <f t="shared" si="7"/>
        <v>5788.27</v>
      </c>
      <c r="N29" s="504">
        <f>SUM(B29:M29)/12</f>
        <v>6076.5891666666676</v>
      </c>
      <c r="O29" s="505">
        <f>O18+O28</f>
        <v>2224031.6349999998</v>
      </c>
    </row>
    <row r="31" spans="1:22" x14ac:dyDescent="0.2">
      <c r="A31" s="250"/>
    </row>
    <row r="33" spans="1:1" ht="15" customHeight="1" x14ac:dyDescent="0.2"/>
    <row r="34" spans="1:1" ht="15.75" x14ac:dyDescent="0.25">
      <c r="A34" s="128"/>
    </row>
    <row r="35" spans="1:1" ht="15" x14ac:dyDescent="0.25">
      <c r="A35" s="142" t="s">
        <v>890</v>
      </c>
    </row>
  </sheetData>
  <mergeCells count="3">
    <mergeCell ref="B2:M2"/>
    <mergeCell ref="N2:N3"/>
    <mergeCell ref="O2:O3"/>
  </mergeCells>
  <phoneticPr fontId="21" type="noConversion"/>
  <printOptions horizontalCentered="1" verticalCentered="1"/>
  <pageMargins left="0.75" right="0.75" top="0.97" bottom="1" header="0.33" footer="0.5"/>
  <pageSetup scale="62" orientation="landscape" r:id="rId1"/>
  <headerFooter alignWithMargins="0">
    <oddHeader>&amp;C&amp;"Arial,Bold"&amp;12DEPARTMENT OF CORRECTIONS
 COST OF CARE Year 2021
(Based on Fiscal Year 2020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7" tint="0.59999389629810485"/>
  </sheetPr>
  <dimension ref="A1:Q43"/>
  <sheetViews>
    <sheetView showGridLines="0" topLeftCell="A19" zoomScaleNormal="100" workbookViewId="0">
      <selection activeCell="B40" sqref="B40"/>
    </sheetView>
  </sheetViews>
  <sheetFormatPr defaultRowHeight="12.75" x14ac:dyDescent="0.2"/>
  <cols>
    <col min="1" max="1" width="11.85546875" customWidth="1"/>
    <col min="2" max="2" width="9.7109375" customWidth="1"/>
    <col min="17" max="17" width="9.140625" bestFit="1" customWidth="1"/>
  </cols>
  <sheetData>
    <row r="1" spans="1:17" x14ac:dyDescent="0.2">
      <c r="A1" s="510" t="s">
        <v>794</v>
      </c>
    </row>
    <row r="2" spans="1:17" ht="4.9000000000000004" customHeight="1" x14ac:dyDescent="0.2">
      <c r="A2" s="510"/>
    </row>
    <row r="3" spans="1:17" s="511" customFormat="1" x14ac:dyDescent="0.2">
      <c r="A3" s="511" t="s">
        <v>402</v>
      </c>
      <c r="B3" s="512">
        <v>4</v>
      </c>
      <c r="C3" s="512">
        <v>6</v>
      </c>
      <c r="D3" s="512">
        <v>7</v>
      </c>
      <c r="E3" s="512">
        <v>8</v>
      </c>
      <c r="F3" s="512">
        <v>6</v>
      </c>
      <c r="G3" s="512">
        <v>7</v>
      </c>
      <c r="H3" s="512">
        <v>22</v>
      </c>
      <c r="I3" s="512">
        <v>12</v>
      </c>
      <c r="J3" s="512">
        <v>9</v>
      </c>
      <c r="K3" s="512">
        <v>12</v>
      </c>
      <c r="L3" s="512">
        <v>14</v>
      </c>
      <c r="M3" s="512">
        <v>15</v>
      </c>
      <c r="N3" s="512">
        <v>10</v>
      </c>
      <c r="O3" s="512">
        <v>13</v>
      </c>
      <c r="P3" s="512">
        <v>12</v>
      </c>
      <c r="Q3" s="513">
        <f>SUM(B3:P3)</f>
        <v>157</v>
      </c>
    </row>
    <row r="4" spans="1:17" s="468" customFormat="1" x14ac:dyDescent="0.2">
      <c r="B4" s="467" t="s">
        <v>403</v>
      </c>
      <c r="C4" s="467" t="s">
        <v>404</v>
      </c>
      <c r="D4" s="467" t="s">
        <v>405</v>
      </c>
      <c r="E4" s="467" t="s">
        <v>406</v>
      </c>
      <c r="F4" s="467" t="s">
        <v>407</v>
      </c>
      <c r="G4" s="467" t="s">
        <v>408</v>
      </c>
      <c r="H4" s="467" t="s">
        <v>409</v>
      </c>
      <c r="I4" s="467" t="s">
        <v>410</v>
      </c>
      <c r="J4" s="467" t="s">
        <v>411</v>
      </c>
      <c r="K4" s="467" t="s">
        <v>412</v>
      </c>
      <c r="L4" s="467" t="s">
        <v>413</v>
      </c>
      <c r="M4" s="467" t="s">
        <v>414</v>
      </c>
      <c r="N4" s="467" t="s">
        <v>415</v>
      </c>
      <c r="O4" s="467" t="s">
        <v>416</v>
      </c>
      <c r="P4" s="467" t="s">
        <v>417</v>
      </c>
    </row>
    <row r="5" spans="1:17" x14ac:dyDescent="0.2">
      <c r="A5" t="s">
        <v>418</v>
      </c>
      <c r="B5" s="466">
        <v>29</v>
      </c>
      <c r="C5" s="466">
        <v>10</v>
      </c>
      <c r="D5" s="466">
        <v>29</v>
      </c>
      <c r="E5" s="466">
        <v>81</v>
      </c>
      <c r="F5" s="514">
        <v>8</v>
      </c>
      <c r="G5" s="466">
        <v>52</v>
      </c>
      <c r="H5" s="466">
        <v>38</v>
      </c>
      <c r="I5" s="466">
        <v>68</v>
      </c>
      <c r="J5" s="515">
        <v>44</v>
      </c>
      <c r="K5" s="465">
        <v>10</v>
      </c>
      <c r="L5" s="466">
        <v>15</v>
      </c>
      <c r="M5" s="514">
        <v>47</v>
      </c>
      <c r="N5" s="466">
        <v>6</v>
      </c>
      <c r="O5" s="514">
        <v>18</v>
      </c>
      <c r="P5" s="466">
        <v>8</v>
      </c>
    </row>
    <row r="6" spans="1:17" x14ac:dyDescent="0.2">
      <c r="A6" t="s">
        <v>419</v>
      </c>
      <c r="B6" s="514">
        <v>10</v>
      </c>
      <c r="C6" s="466">
        <v>7</v>
      </c>
      <c r="D6" s="466">
        <v>37</v>
      </c>
      <c r="E6" s="515">
        <v>78</v>
      </c>
      <c r="F6" s="514">
        <v>3</v>
      </c>
      <c r="G6" s="466">
        <v>42</v>
      </c>
      <c r="H6" s="466">
        <v>71</v>
      </c>
      <c r="I6" s="466">
        <v>63</v>
      </c>
      <c r="J6" s="514">
        <v>51</v>
      </c>
      <c r="K6" s="466">
        <v>8</v>
      </c>
      <c r="L6" s="466">
        <v>15</v>
      </c>
      <c r="M6" s="514">
        <v>36</v>
      </c>
      <c r="N6" s="514">
        <v>12</v>
      </c>
      <c r="O6" s="514">
        <v>20</v>
      </c>
      <c r="P6" s="514">
        <v>9</v>
      </c>
    </row>
    <row r="7" spans="1:17" x14ac:dyDescent="0.2">
      <c r="A7" t="s">
        <v>420</v>
      </c>
      <c r="B7" s="466">
        <v>14</v>
      </c>
      <c r="C7" s="515">
        <v>3</v>
      </c>
      <c r="D7" s="514">
        <v>30</v>
      </c>
      <c r="E7" s="466">
        <v>51</v>
      </c>
      <c r="F7" s="466">
        <v>5</v>
      </c>
      <c r="G7" s="514">
        <v>31</v>
      </c>
      <c r="H7" s="514">
        <v>65</v>
      </c>
      <c r="I7" s="514">
        <v>59</v>
      </c>
      <c r="J7" s="514">
        <v>30</v>
      </c>
      <c r="K7" s="514">
        <v>7</v>
      </c>
      <c r="L7" s="514">
        <v>14</v>
      </c>
      <c r="M7" s="466">
        <v>49</v>
      </c>
      <c r="N7" s="466">
        <v>24</v>
      </c>
      <c r="O7" s="514">
        <v>9</v>
      </c>
      <c r="P7" s="514">
        <v>10</v>
      </c>
    </row>
    <row r="8" spans="1:17" x14ac:dyDescent="0.2">
      <c r="A8" t="s">
        <v>421</v>
      </c>
      <c r="B8" s="514">
        <v>11</v>
      </c>
      <c r="C8" s="466">
        <v>2</v>
      </c>
      <c r="D8" s="466">
        <v>34</v>
      </c>
      <c r="E8" s="466">
        <v>62</v>
      </c>
      <c r="F8" s="466">
        <v>3</v>
      </c>
      <c r="G8" s="466">
        <v>57</v>
      </c>
      <c r="H8" s="466">
        <v>64</v>
      </c>
      <c r="I8" s="466">
        <v>54</v>
      </c>
      <c r="J8" s="514">
        <v>32</v>
      </c>
      <c r="K8" s="514">
        <v>8</v>
      </c>
      <c r="L8" s="466">
        <v>11</v>
      </c>
      <c r="M8" s="466">
        <v>28</v>
      </c>
      <c r="N8" s="466">
        <v>18</v>
      </c>
      <c r="O8" s="514">
        <v>24</v>
      </c>
      <c r="P8" s="514">
        <v>9</v>
      </c>
    </row>
    <row r="9" spans="1:17" x14ac:dyDescent="0.2">
      <c r="A9" t="s">
        <v>422</v>
      </c>
      <c r="B9" s="466">
        <v>6</v>
      </c>
      <c r="C9" s="514">
        <v>2</v>
      </c>
      <c r="D9" s="466">
        <v>32</v>
      </c>
      <c r="E9" s="514">
        <v>61</v>
      </c>
      <c r="F9" s="466">
        <v>2</v>
      </c>
      <c r="G9" s="466">
        <v>56</v>
      </c>
      <c r="H9" s="466">
        <v>49</v>
      </c>
      <c r="I9" s="466">
        <v>56</v>
      </c>
      <c r="J9" s="514">
        <v>46</v>
      </c>
      <c r="K9" s="514">
        <v>9</v>
      </c>
      <c r="L9" s="466">
        <v>18</v>
      </c>
      <c r="M9" s="514">
        <v>33</v>
      </c>
      <c r="N9" s="466">
        <v>18</v>
      </c>
      <c r="O9" s="466">
        <v>10</v>
      </c>
      <c r="P9" s="466">
        <v>6</v>
      </c>
    </row>
    <row r="10" spans="1:17" x14ac:dyDescent="0.2">
      <c r="A10" t="s">
        <v>423</v>
      </c>
      <c r="B10" s="466">
        <v>6</v>
      </c>
      <c r="C10" s="514">
        <v>1</v>
      </c>
      <c r="D10" s="466">
        <v>29</v>
      </c>
      <c r="E10" s="514">
        <v>53</v>
      </c>
      <c r="F10" s="466">
        <v>1</v>
      </c>
      <c r="G10" s="466">
        <v>48</v>
      </c>
      <c r="H10" s="466">
        <v>45</v>
      </c>
      <c r="I10" s="515">
        <v>50</v>
      </c>
      <c r="J10" s="514">
        <v>65</v>
      </c>
      <c r="K10" s="514">
        <v>12</v>
      </c>
      <c r="L10" s="466">
        <v>14</v>
      </c>
      <c r="M10" s="514">
        <v>27</v>
      </c>
      <c r="N10" s="466">
        <v>9</v>
      </c>
      <c r="O10" s="466">
        <v>15</v>
      </c>
      <c r="P10" s="514">
        <v>7</v>
      </c>
    </row>
    <row r="11" spans="1:17" x14ac:dyDescent="0.2">
      <c r="A11" t="s">
        <v>424</v>
      </c>
      <c r="B11" s="514">
        <v>7</v>
      </c>
      <c r="C11" s="514">
        <v>1</v>
      </c>
      <c r="D11" s="514">
        <v>28</v>
      </c>
      <c r="E11" s="514">
        <v>44</v>
      </c>
      <c r="F11" s="466">
        <v>2</v>
      </c>
      <c r="G11" s="514">
        <v>36</v>
      </c>
      <c r="H11" s="514">
        <v>41</v>
      </c>
      <c r="I11" s="514">
        <v>45</v>
      </c>
      <c r="J11" s="514">
        <v>43</v>
      </c>
      <c r="K11" s="514">
        <v>8</v>
      </c>
      <c r="L11" s="466">
        <v>9</v>
      </c>
      <c r="M11" s="514">
        <v>29</v>
      </c>
      <c r="N11" s="466">
        <v>6</v>
      </c>
      <c r="O11" s="514">
        <v>17</v>
      </c>
      <c r="P11" s="466">
        <v>6</v>
      </c>
    </row>
    <row r="12" spans="1:17" x14ac:dyDescent="0.2">
      <c r="A12" t="s">
        <v>425</v>
      </c>
      <c r="B12" s="466">
        <v>8</v>
      </c>
      <c r="C12" s="514">
        <v>2</v>
      </c>
      <c r="D12" s="466">
        <v>36</v>
      </c>
      <c r="E12" s="466">
        <v>40</v>
      </c>
      <c r="F12" s="466">
        <v>1</v>
      </c>
      <c r="G12" s="466">
        <v>23</v>
      </c>
      <c r="H12" s="466">
        <v>53</v>
      </c>
      <c r="I12" s="466">
        <v>24</v>
      </c>
      <c r="J12" s="514">
        <v>30</v>
      </c>
      <c r="K12" s="466">
        <v>11</v>
      </c>
      <c r="L12" s="466">
        <v>15</v>
      </c>
      <c r="M12" s="466">
        <v>39</v>
      </c>
      <c r="N12" s="466">
        <v>13</v>
      </c>
      <c r="O12" s="514">
        <v>18</v>
      </c>
      <c r="P12" s="466">
        <v>8</v>
      </c>
    </row>
    <row r="13" spans="1:17" x14ac:dyDescent="0.2">
      <c r="A13" t="s">
        <v>426</v>
      </c>
      <c r="B13" s="466">
        <v>5</v>
      </c>
      <c r="C13" s="466">
        <v>2</v>
      </c>
      <c r="D13" s="466">
        <v>26</v>
      </c>
      <c r="E13" s="466">
        <v>48</v>
      </c>
      <c r="F13" s="514">
        <v>1</v>
      </c>
      <c r="G13" s="466">
        <v>28</v>
      </c>
      <c r="H13" s="466">
        <v>53</v>
      </c>
      <c r="I13" s="466">
        <v>26</v>
      </c>
      <c r="J13" s="514">
        <v>21</v>
      </c>
      <c r="K13" s="466">
        <v>9</v>
      </c>
      <c r="L13" s="466">
        <v>13</v>
      </c>
      <c r="M13" s="466">
        <v>28</v>
      </c>
      <c r="N13" s="466">
        <v>10</v>
      </c>
      <c r="O13" s="466">
        <v>13</v>
      </c>
      <c r="P13" s="466">
        <v>7</v>
      </c>
    </row>
    <row r="14" spans="1:17" x14ac:dyDescent="0.2">
      <c r="A14" t="s">
        <v>427</v>
      </c>
      <c r="B14" s="514">
        <v>4</v>
      </c>
      <c r="C14" s="514">
        <v>0</v>
      </c>
      <c r="D14" s="466">
        <v>19</v>
      </c>
      <c r="E14" s="466">
        <v>48</v>
      </c>
      <c r="F14" s="466">
        <v>1</v>
      </c>
      <c r="G14" s="466">
        <v>24</v>
      </c>
      <c r="H14" s="466">
        <v>26</v>
      </c>
      <c r="I14" s="466">
        <v>6</v>
      </c>
      <c r="J14" s="514">
        <v>31</v>
      </c>
      <c r="K14" s="466">
        <v>5</v>
      </c>
      <c r="L14" s="466">
        <v>7</v>
      </c>
      <c r="M14" s="466">
        <v>14</v>
      </c>
      <c r="N14" s="466">
        <v>2</v>
      </c>
      <c r="O14" s="514">
        <v>7</v>
      </c>
      <c r="P14" s="466">
        <v>2</v>
      </c>
    </row>
    <row r="15" spans="1:17" x14ac:dyDescent="0.2">
      <c r="A15" t="s">
        <v>346</v>
      </c>
      <c r="B15" s="466">
        <v>13</v>
      </c>
      <c r="C15" s="466">
        <v>4</v>
      </c>
      <c r="D15" s="466">
        <v>29</v>
      </c>
      <c r="E15" s="466">
        <v>24</v>
      </c>
      <c r="F15" s="466">
        <v>1</v>
      </c>
      <c r="G15" s="466">
        <v>30.5</v>
      </c>
      <c r="H15" s="466">
        <v>48</v>
      </c>
      <c r="I15" s="466">
        <v>26</v>
      </c>
      <c r="J15" s="514">
        <v>35</v>
      </c>
      <c r="K15" s="466">
        <v>10</v>
      </c>
      <c r="L15" s="466">
        <v>22</v>
      </c>
      <c r="M15" s="466">
        <v>31</v>
      </c>
      <c r="N15" s="466">
        <v>5</v>
      </c>
      <c r="O15" s="466">
        <v>8</v>
      </c>
      <c r="P15" s="466">
        <v>3</v>
      </c>
    </row>
    <row r="16" spans="1:17" x14ac:dyDescent="0.2">
      <c r="A16" t="s">
        <v>347</v>
      </c>
      <c r="B16" s="514">
        <v>17</v>
      </c>
      <c r="C16" s="514">
        <v>4</v>
      </c>
      <c r="D16" s="466">
        <v>25</v>
      </c>
      <c r="E16" s="514">
        <v>30</v>
      </c>
      <c r="F16" s="466">
        <v>0</v>
      </c>
      <c r="G16" s="466">
        <v>27</v>
      </c>
      <c r="H16" s="514">
        <v>42</v>
      </c>
      <c r="I16" s="466">
        <v>12</v>
      </c>
      <c r="J16" s="514">
        <v>44</v>
      </c>
      <c r="K16" s="514">
        <v>9</v>
      </c>
      <c r="L16" s="466">
        <v>29</v>
      </c>
      <c r="M16" s="514">
        <v>23</v>
      </c>
      <c r="N16" s="466">
        <v>6</v>
      </c>
      <c r="O16" s="466">
        <v>8</v>
      </c>
      <c r="P16" s="466">
        <v>11</v>
      </c>
      <c r="Q16" s="510" t="s">
        <v>428</v>
      </c>
    </row>
    <row r="17" spans="1:17" x14ac:dyDescent="0.2">
      <c r="A17" s="495" t="s">
        <v>26</v>
      </c>
      <c r="B17" s="516">
        <f t="shared" ref="B17:P17" si="0">SUM(B5:B16)</f>
        <v>130</v>
      </c>
      <c r="C17" s="516">
        <f t="shared" si="0"/>
        <v>38</v>
      </c>
      <c r="D17" s="516">
        <f t="shared" si="0"/>
        <v>354</v>
      </c>
      <c r="E17" s="516">
        <f t="shared" si="0"/>
        <v>620</v>
      </c>
      <c r="F17" s="516">
        <f t="shared" si="0"/>
        <v>28</v>
      </c>
      <c r="G17" s="516">
        <f t="shared" si="0"/>
        <v>454.5</v>
      </c>
      <c r="H17" s="516">
        <f t="shared" si="0"/>
        <v>595</v>
      </c>
      <c r="I17" s="516">
        <f t="shared" si="0"/>
        <v>489</v>
      </c>
      <c r="J17" s="516">
        <f t="shared" si="0"/>
        <v>472</v>
      </c>
      <c r="K17" s="516">
        <f t="shared" si="0"/>
        <v>106</v>
      </c>
      <c r="L17" s="516">
        <f t="shared" si="0"/>
        <v>182</v>
      </c>
      <c r="M17" s="516">
        <f t="shared" si="0"/>
        <v>384</v>
      </c>
      <c r="N17" s="516">
        <f t="shared" si="0"/>
        <v>129</v>
      </c>
      <c r="O17" s="516">
        <f t="shared" si="0"/>
        <v>167</v>
      </c>
      <c r="P17" s="516">
        <f t="shared" si="0"/>
        <v>86</v>
      </c>
      <c r="Q17" s="510" t="s">
        <v>429</v>
      </c>
    </row>
    <row r="18" spans="1:17" x14ac:dyDescent="0.2">
      <c r="A18" s="495" t="s">
        <v>449</v>
      </c>
      <c r="B18" s="517">
        <f>AVERAGE(B5:B16)</f>
        <v>10.833333333333334</v>
      </c>
      <c r="C18" s="517">
        <f t="shared" ref="C18:P18" si="1">AVERAGE(C5:C16)</f>
        <v>3.1666666666666665</v>
      </c>
      <c r="D18" s="517">
        <f t="shared" si="1"/>
        <v>29.5</v>
      </c>
      <c r="E18" s="517">
        <f t="shared" si="1"/>
        <v>51.666666666666664</v>
      </c>
      <c r="F18" s="517">
        <f t="shared" si="1"/>
        <v>2.3333333333333335</v>
      </c>
      <c r="G18" s="517">
        <f t="shared" si="1"/>
        <v>37.875</v>
      </c>
      <c r="H18" s="517">
        <f t="shared" si="1"/>
        <v>49.583333333333336</v>
      </c>
      <c r="I18" s="517">
        <f t="shared" si="1"/>
        <v>40.75</v>
      </c>
      <c r="J18" s="517">
        <f t="shared" si="1"/>
        <v>39.333333333333336</v>
      </c>
      <c r="K18" s="517">
        <f t="shared" si="1"/>
        <v>8.8333333333333339</v>
      </c>
      <c r="L18" s="517">
        <f t="shared" si="1"/>
        <v>15.166666666666666</v>
      </c>
      <c r="M18" s="517">
        <f t="shared" si="1"/>
        <v>32</v>
      </c>
      <c r="N18" s="517">
        <f t="shared" si="1"/>
        <v>10.75</v>
      </c>
      <c r="O18" s="517">
        <f t="shared" si="1"/>
        <v>13.916666666666666</v>
      </c>
      <c r="P18" s="517">
        <f t="shared" si="1"/>
        <v>7.166666666666667</v>
      </c>
      <c r="Q18" s="518">
        <f>SUM(B17:P17)</f>
        <v>4234.5</v>
      </c>
    </row>
    <row r="19" spans="1:17" x14ac:dyDescent="0.2">
      <c r="I19" s="468"/>
    </row>
    <row r="20" spans="1:17" x14ac:dyDescent="0.2">
      <c r="A20" s="510" t="s">
        <v>795</v>
      </c>
    </row>
    <row r="21" spans="1:17" ht="4.9000000000000004" customHeight="1" x14ac:dyDescent="0.2">
      <c r="A21" s="510"/>
    </row>
    <row r="22" spans="1:17" s="511" customFormat="1" x14ac:dyDescent="0.2">
      <c r="A22" s="511" t="s">
        <v>430</v>
      </c>
      <c r="B22" s="519">
        <v>15</v>
      </c>
      <c r="C22" s="519">
        <v>7</v>
      </c>
      <c r="D22" s="519">
        <v>15</v>
      </c>
      <c r="E22" s="519">
        <v>20</v>
      </c>
      <c r="F22" s="519">
        <v>14</v>
      </c>
      <c r="G22" s="519">
        <v>10</v>
      </c>
      <c r="H22" s="519">
        <v>30</v>
      </c>
      <c r="I22" s="519">
        <v>30</v>
      </c>
      <c r="J22" s="519">
        <v>30</v>
      </c>
      <c r="K22" s="519">
        <v>15</v>
      </c>
      <c r="L22" s="519">
        <v>30</v>
      </c>
      <c r="M22" s="519">
        <v>10</v>
      </c>
      <c r="N22" s="519">
        <v>30</v>
      </c>
      <c r="O22" s="519">
        <v>10</v>
      </c>
      <c r="P22" s="519">
        <v>30</v>
      </c>
      <c r="Q22" s="695">
        <f>SUM(B22:O22)</f>
        <v>266</v>
      </c>
    </row>
    <row r="23" spans="1:17" s="468" customFormat="1" x14ac:dyDescent="0.2">
      <c r="B23" s="467" t="s">
        <v>403</v>
      </c>
      <c r="C23" s="467" t="s">
        <v>404</v>
      </c>
      <c r="D23" s="467" t="s">
        <v>405</v>
      </c>
      <c r="E23" s="467" t="s">
        <v>406</v>
      </c>
      <c r="F23" s="467" t="s">
        <v>407</v>
      </c>
      <c r="G23" s="467" t="s">
        <v>408</v>
      </c>
      <c r="H23" s="467" t="s">
        <v>409</v>
      </c>
      <c r="I23" s="467" t="s">
        <v>410</v>
      </c>
      <c r="J23" s="467" t="s">
        <v>411</v>
      </c>
      <c r="K23" s="467" t="s">
        <v>412</v>
      </c>
      <c r="L23" s="467" t="s">
        <v>413</v>
      </c>
      <c r="M23" s="467" t="s">
        <v>414</v>
      </c>
      <c r="N23" s="467" t="s">
        <v>415</v>
      </c>
      <c r="O23" s="467" t="s">
        <v>416</v>
      </c>
      <c r="P23" s="467" t="s">
        <v>417</v>
      </c>
    </row>
    <row r="24" spans="1:17" x14ac:dyDescent="0.2">
      <c r="A24" t="s">
        <v>418</v>
      </c>
      <c r="B24" s="466">
        <v>39</v>
      </c>
      <c r="C24" s="466">
        <v>10.5</v>
      </c>
      <c r="D24" s="466">
        <v>97.5</v>
      </c>
      <c r="E24" s="466">
        <v>127.5</v>
      </c>
      <c r="F24" s="466">
        <v>5.5</v>
      </c>
      <c r="G24" s="466">
        <v>45</v>
      </c>
      <c r="H24" s="466">
        <v>792</v>
      </c>
      <c r="I24" s="466">
        <v>277.5</v>
      </c>
      <c r="J24" s="466">
        <v>267.5</v>
      </c>
      <c r="K24" s="466">
        <v>58</v>
      </c>
      <c r="L24" s="466">
        <v>42</v>
      </c>
      <c r="M24" s="466">
        <v>171.5</v>
      </c>
      <c r="N24" s="466">
        <v>9.5</v>
      </c>
      <c r="O24" s="466">
        <v>73.5</v>
      </c>
      <c r="P24" s="466">
        <v>22</v>
      </c>
    </row>
    <row r="25" spans="1:17" x14ac:dyDescent="0.2">
      <c r="A25" t="s">
        <v>419</v>
      </c>
      <c r="B25" s="466">
        <v>16</v>
      </c>
      <c r="C25" s="466">
        <v>13.5</v>
      </c>
      <c r="D25" s="466">
        <v>201</v>
      </c>
      <c r="E25" s="466">
        <v>186</v>
      </c>
      <c r="F25" s="466">
        <v>1</v>
      </c>
      <c r="G25" s="466">
        <v>50.5</v>
      </c>
      <c r="H25" s="466">
        <v>585</v>
      </c>
      <c r="I25" s="466">
        <v>224.5</v>
      </c>
      <c r="J25" s="466">
        <v>274.5</v>
      </c>
      <c r="K25" s="466">
        <v>49</v>
      </c>
      <c r="L25" s="466">
        <v>27</v>
      </c>
      <c r="M25" s="466">
        <v>106</v>
      </c>
      <c r="N25" s="466">
        <v>42.5</v>
      </c>
      <c r="O25" s="466">
        <v>69.5</v>
      </c>
      <c r="P25" s="466">
        <v>43</v>
      </c>
    </row>
    <row r="26" spans="1:17" x14ac:dyDescent="0.2">
      <c r="A26" t="s">
        <v>420</v>
      </c>
      <c r="B26" s="466">
        <v>29.5</v>
      </c>
      <c r="C26" s="466">
        <v>4</v>
      </c>
      <c r="D26" s="466">
        <v>171</v>
      </c>
      <c r="E26" s="466">
        <v>162</v>
      </c>
      <c r="F26" s="466">
        <v>9</v>
      </c>
      <c r="G26" s="466">
        <v>61.5</v>
      </c>
      <c r="H26" s="466">
        <v>636</v>
      </c>
      <c r="I26" s="466">
        <v>201</v>
      </c>
      <c r="J26" s="466">
        <v>221.5</v>
      </c>
      <c r="K26" s="466">
        <v>28</v>
      </c>
      <c r="L26" s="466">
        <v>25.5</v>
      </c>
      <c r="M26" s="466">
        <v>217.5</v>
      </c>
      <c r="N26" s="466">
        <v>31.5</v>
      </c>
      <c r="O26" s="466">
        <v>14.5</v>
      </c>
      <c r="P26" s="466">
        <v>112</v>
      </c>
    </row>
    <row r="27" spans="1:17" x14ac:dyDescent="0.2">
      <c r="A27" t="s">
        <v>421</v>
      </c>
      <c r="B27" s="466">
        <v>26.5</v>
      </c>
      <c r="C27" s="466">
        <v>25.5</v>
      </c>
      <c r="D27" s="466">
        <v>171.5</v>
      </c>
      <c r="E27" s="466">
        <v>155.5</v>
      </c>
      <c r="F27" s="466">
        <v>5</v>
      </c>
      <c r="G27" s="466">
        <v>85.5</v>
      </c>
      <c r="H27" s="466">
        <v>453</v>
      </c>
      <c r="I27" s="466">
        <v>193</v>
      </c>
      <c r="J27" s="466">
        <v>259.5</v>
      </c>
      <c r="K27" s="466">
        <v>34</v>
      </c>
      <c r="L27" s="466">
        <v>53.5</v>
      </c>
      <c r="M27" s="466">
        <v>89.5</v>
      </c>
      <c r="N27" s="466">
        <v>69.5</v>
      </c>
      <c r="O27" s="466">
        <v>72.5</v>
      </c>
      <c r="P27" s="466">
        <v>69</v>
      </c>
    </row>
    <row r="28" spans="1:17" x14ac:dyDescent="0.2">
      <c r="A28" t="s">
        <v>422</v>
      </c>
      <c r="B28" s="466">
        <v>9</v>
      </c>
      <c r="C28" s="466">
        <v>6</v>
      </c>
      <c r="D28" s="466">
        <v>162</v>
      </c>
      <c r="E28" s="466">
        <v>105.5</v>
      </c>
      <c r="F28" s="466">
        <v>2</v>
      </c>
      <c r="G28" s="466">
        <v>81</v>
      </c>
      <c r="H28" s="466">
        <v>242</v>
      </c>
      <c r="I28" s="466">
        <v>181.5</v>
      </c>
      <c r="J28" s="466">
        <v>345</v>
      </c>
      <c r="K28" s="466">
        <v>53</v>
      </c>
      <c r="L28" s="466">
        <v>76</v>
      </c>
      <c r="M28" s="466">
        <v>173</v>
      </c>
      <c r="N28" s="466">
        <v>48</v>
      </c>
      <c r="O28" s="466">
        <v>51</v>
      </c>
      <c r="P28" s="466">
        <v>93</v>
      </c>
    </row>
    <row r="29" spans="1:17" x14ac:dyDescent="0.2">
      <c r="A29" t="s">
        <v>423</v>
      </c>
      <c r="B29" s="466">
        <v>9</v>
      </c>
      <c r="C29" s="466">
        <v>1</v>
      </c>
      <c r="D29" s="466">
        <v>233</v>
      </c>
      <c r="E29" s="466">
        <v>202</v>
      </c>
      <c r="F29" s="466">
        <v>0.5</v>
      </c>
      <c r="G29" s="466">
        <v>65</v>
      </c>
      <c r="H29" s="466">
        <v>246</v>
      </c>
      <c r="I29" s="464">
        <v>187.5</v>
      </c>
      <c r="J29" s="466">
        <v>341</v>
      </c>
      <c r="K29" s="466">
        <v>55</v>
      </c>
      <c r="L29" s="466">
        <v>21</v>
      </c>
      <c r="M29" s="466">
        <v>130</v>
      </c>
      <c r="N29" s="466">
        <v>18</v>
      </c>
      <c r="O29" s="466">
        <v>31.5</v>
      </c>
      <c r="P29" s="466">
        <v>48</v>
      </c>
    </row>
    <row r="30" spans="1:17" x14ac:dyDescent="0.2">
      <c r="A30" t="s">
        <v>424</v>
      </c>
      <c r="B30" s="466">
        <v>33</v>
      </c>
      <c r="C30" s="466">
        <v>0.5</v>
      </c>
      <c r="D30" s="466">
        <v>222</v>
      </c>
      <c r="E30" s="466">
        <v>174</v>
      </c>
      <c r="F30" s="466">
        <v>2</v>
      </c>
      <c r="G30" s="466">
        <v>59</v>
      </c>
      <c r="H30" s="466">
        <v>263</v>
      </c>
      <c r="I30" s="466">
        <v>163</v>
      </c>
      <c r="J30" s="466">
        <v>316</v>
      </c>
      <c r="K30" s="466">
        <v>56</v>
      </c>
      <c r="L30" s="466">
        <v>19</v>
      </c>
      <c r="M30" s="466">
        <v>138</v>
      </c>
      <c r="N30" s="466">
        <v>11</v>
      </c>
      <c r="O30" s="466">
        <v>118.5</v>
      </c>
      <c r="P30" s="466">
        <v>42</v>
      </c>
    </row>
    <row r="31" spans="1:17" x14ac:dyDescent="0.2">
      <c r="A31" t="s">
        <v>425</v>
      </c>
      <c r="B31" s="466">
        <v>14</v>
      </c>
      <c r="C31" s="466">
        <v>2</v>
      </c>
      <c r="D31" s="466">
        <v>229</v>
      </c>
      <c r="E31" s="514">
        <v>135</v>
      </c>
      <c r="F31" s="466">
        <v>7</v>
      </c>
      <c r="G31" s="466">
        <v>57.5</v>
      </c>
      <c r="H31" s="466">
        <v>269</v>
      </c>
      <c r="I31" s="466">
        <v>60</v>
      </c>
      <c r="J31" s="466">
        <v>277</v>
      </c>
      <c r="K31" s="466">
        <v>35</v>
      </c>
      <c r="L31" s="466">
        <v>33.5</v>
      </c>
      <c r="M31" s="466">
        <v>123.5</v>
      </c>
      <c r="N31" s="466">
        <v>40.5</v>
      </c>
      <c r="O31" s="514">
        <v>95.5</v>
      </c>
      <c r="P31" s="466">
        <v>146</v>
      </c>
    </row>
    <row r="32" spans="1:17" x14ac:dyDescent="0.2">
      <c r="A32" t="s">
        <v>431</v>
      </c>
      <c r="B32" s="466">
        <v>12</v>
      </c>
      <c r="C32" s="466">
        <v>6</v>
      </c>
      <c r="D32" s="466">
        <v>159.5</v>
      </c>
      <c r="E32" s="466">
        <v>127</v>
      </c>
      <c r="F32" s="466">
        <v>7</v>
      </c>
      <c r="G32" s="466">
        <v>58.5</v>
      </c>
      <c r="H32" s="466">
        <v>210</v>
      </c>
      <c r="I32" s="466">
        <v>40</v>
      </c>
      <c r="J32" s="466">
        <v>169.5</v>
      </c>
      <c r="K32" s="466">
        <v>48</v>
      </c>
      <c r="L32" s="466">
        <v>40.5</v>
      </c>
      <c r="M32" s="466">
        <v>90</v>
      </c>
      <c r="N32" s="466">
        <v>31.5</v>
      </c>
      <c r="O32" s="466">
        <v>40.5</v>
      </c>
      <c r="P32" s="466">
        <v>47</v>
      </c>
    </row>
    <row r="33" spans="1:17" x14ac:dyDescent="0.2">
      <c r="A33" t="s">
        <v>432</v>
      </c>
      <c r="B33" s="466">
        <v>13</v>
      </c>
      <c r="C33" s="466">
        <v>0</v>
      </c>
      <c r="D33" s="466">
        <v>62</v>
      </c>
      <c r="E33" s="466">
        <v>53</v>
      </c>
      <c r="F33" s="466">
        <v>4</v>
      </c>
      <c r="G33" s="466">
        <v>29</v>
      </c>
      <c r="H33" s="466">
        <v>73</v>
      </c>
      <c r="I33" s="466">
        <v>10.5</v>
      </c>
      <c r="J33" s="466">
        <v>153.5</v>
      </c>
      <c r="K33" s="466">
        <v>14</v>
      </c>
      <c r="L33" s="520">
        <v>11.5</v>
      </c>
      <c r="M33" s="466">
        <v>27</v>
      </c>
      <c r="N33" s="466">
        <v>9</v>
      </c>
      <c r="O33" s="514">
        <v>39</v>
      </c>
      <c r="P33" s="466">
        <v>31</v>
      </c>
    </row>
    <row r="34" spans="1:17" x14ac:dyDescent="0.2">
      <c r="A34" t="s">
        <v>433</v>
      </c>
      <c r="B34" s="466">
        <v>23</v>
      </c>
      <c r="C34" s="466">
        <v>10</v>
      </c>
      <c r="D34" s="466">
        <v>110</v>
      </c>
      <c r="E34" s="466">
        <v>91</v>
      </c>
      <c r="F34" s="466">
        <v>1</v>
      </c>
      <c r="G34" s="466">
        <v>30</v>
      </c>
      <c r="H34" s="466">
        <v>142</v>
      </c>
      <c r="I34" s="466">
        <v>43.5</v>
      </c>
      <c r="J34" s="466">
        <v>140</v>
      </c>
      <c r="K34" s="466">
        <v>35</v>
      </c>
      <c r="L34" s="466">
        <v>68.5</v>
      </c>
      <c r="M34" s="466">
        <v>63</v>
      </c>
      <c r="N34" s="466">
        <v>43</v>
      </c>
      <c r="O34" s="466">
        <v>46</v>
      </c>
      <c r="P34" s="466">
        <v>47</v>
      </c>
    </row>
    <row r="35" spans="1:17" x14ac:dyDescent="0.2">
      <c r="A35" t="s">
        <v>347</v>
      </c>
      <c r="B35" s="466">
        <v>24.5</v>
      </c>
      <c r="C35" s="466">
        <v>3</v>
      </c>
      <c r="D35" s="466">
        <v>125</v>
      </c>
      <c r="E35" s="466">
        <v>107</v>
      </c>
      <c r="F35" s="466">
        <v>0</v>
      </c>
      <c r="G35" s="466">
        <v>30.5</v>
      </c>
      <c r="H35" s="466">
        <v>209</v>
      </c>
      <c r="I35" s="466">
        <v>19.5</v>
      </c>
      <c r="J35" s="466">
        <v>196</v>
      </c>
      <c r="K35" s="514">
        <v>38</v>
      </c>
      <c r="L35" s="466">
        <v>87.5</v>
      </c>
      <c r="M35" s="466">
        <v>61.5</v>
      </c>
      <c r="N35" s="466">
        <v>13.5</v>
      </c>
      <c r="O35" s="466">
        <v>13.5</v>
      </c>
      <c r="P35" s="466">
        <v>84</v>
      </c>
      <c r="Q35" s="510" t="s">
        <v>26</v>
      </c>
    </row>
    <row r="36" spans="1:17" x14ac:dyDescent="0.2">
      <c r="A36" s="495" t="s">
        <v>26</v>
      </c>
      <c r="B36" s="516">
        <f t="shared" ref="B36:P36" si="2">SUM(B24:B35)</f>
        <v>248.5</v>
      </c>
      <c r="C36" s="516">
        <f t="shared" si="2"/>
        <v>82</v>
      </c>
      <c r="D36" s="516">
        <f t="shared" si="2"/>
        <v>1943.5</v>
      </c>
      <c r="E36" s="516">
        <f t="shared" si="2"/>
        <v>1625.5</v>
      </c>
      <c r="F36" s="516">
        <f t="shared" si="2"/>
        <v>44</v>
      </c>
      <c r="G36" s="516">
        <f t="shared" si="2"/>
        <v>653</v>
      </c>
      <c r="H36" s="516">
        <f>SUM(H24:H35)</f>
        <v>4120</v>
      </c>
      <c r="I36" s="516">
        <f t="shared" si="2"/>
        <v>1601.5</v>
      </c>
      <c r="J36" s="516">
        <f t="shared" si="2"/>
        <v>2961</v>
      </c>
      <c r="K36" s="516">
        <f t="shared" si="2"/>
        <v>503</v>
      </c>
      <c r="L36" s="516">
        <f t="shared" si="2"/>
        <v>505.5</v>
      </c>
      <c r="M36" s="516">
        <f t="shared" si="2"/>
        <v>1390.5</v>
      </c>
      <c r="N36" s="516">
        <f t="shared" si="2"/>
        <v>367.5</v>
      </c>
      <c r="O36" s="516">
        <f t="shared" si="2"/>
        <v>665.5</v>
      </c>
      <c r="P36" s="516">
        <f t="shared" si="2"/>
        <v>784</v>
      </c>
      <c r="Q36" s="510" t="s">
        <v>434</v>
      </c>
    </row>
    <row r="37" spans="1:17" x14ac:dyDescent="0.2">
      <c r="A37" s="495" t="s">
        <v>449</v>
      </c>
      <c r="B37" s="496">
        <f>AVERAGE(B24:B35)</f>
        <v>20.708333333333332</v>
      </c>
      <c r="C37" s="496">
        <f t="shared" ref="C37:P37" si="3">AVERAGE(C24:C35)</f>
        <v>6.833333333333333</v>
      </c>
      <c r="D37" s="496">
        <f t="shared" si="3"/>
        <v>161.95833333333334</v>
      </c>
      <c r="E37" s="496">
        <f t="shared" si="3"/>
        <v>135.45833333333334</v>
      </c>
      <c r="F37" s="496">
        <f t="shared" si="3"/>
        <v>3.6666666666666665</v>
      </c>
      <c r="G37" s="496">
        <f t="shared" si="3"/>
        <v>54.416666666666664</v>
      </c>
      <c r="H37" s="496">
        <f t="shared" si="3"/>
        <v>343.33333333333331</v>
      </c>
      <c r="I37" s="496">
        <f t="shared" si="3"/>
        <v>133.45833333333334</v>
      </c>
      <c r="J37" s="496">
        <f t="shared" si="3"/>
        <v>246.75</v>
      </c>
      <c r="K37" s="496">
        <f t="shared" si="3"/>
        <v>41.916666666666664</v>
      </c>
      <c r="L37" s="496">
        <f t="shared" si="3"/>
        <v>42.125</v>
      </c>
      <c r="M37" s="496">
        <f t="shared" si="3"/>
        <v>115.875</v>
      </c>
      <c r="N37" s="496">
        <f t="shared" si="3"/>
        <v>30.625</v>
      </c>
      <c r="O37" s="496">
        <f t="shared" si="3"/>
        <v>55.458333333333336</v>
      </c>
      <c r="P37" s="496">
        <f t="shared" si="3"/>
        <v>65.333333333333329</v>
      </c>
      <c r="Q37" s="521">
        <f>SUM(B36:P36)</f>
        <v>17495</v>
      </c>
    </row>
    <row r="40" spans="1:17" x14ac:dyDescent="0.2">
      <c r="A40" s="463" t="s">
        <v>796</v>
      </c>
      <c r="B40">
        <f>Q37/366</f>
        <v>47.800546448087431</v>
      </c>
    </row>
    <row r="41" spans="1:17" ht="15.75" x14ac:dyDescent="0.25">
      <c r="A41" s="130" t="s">
        <v>764</v>
      </c>
      <c r="H41" s="765">
        <f>B40</f>
        <v>47.800546448087431</v>
      </c>
    </row>
    <row r="43" spans="1:17" x14ac:dyDescent="0.2">
      <c r="A43" s="471" t="s">
        <v>797</v>
      </c>
    </row>
  </sheetData>
  <phoneticPr fontId="67" type="noConversion"/>
  <pageMargins left="0" right="0" top="0.75" bottom="0.25" header="0.3" footer="0.3"/>
  <pageSetup scale="86" orientation="landscape" r:id="rId1"/>
  <headerFooter>
    <oddHeader>&amp;C&amp;"Arial,Bold"&amp;12COST OF CARE Year 2021
(Based on Fiscal Year 2020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tint="0.59999389629810485"/>
  </sheetPr>
  <dimension ref="A1:J47"/>
  <sheetViews>
    <sheetView showGridLines="0" zoomScaleNormal="100" workbookViewId="0">
      <selection activeCell="A2" sqref="A2"/>
    </sheetView>
  </sheetViews>
  <sheetFormatPr defaultRowHeight="12.75" x14ac:dyDescent="0.2"/>
  <cols>
    <col min="1" max="1" width="24.85546875" bestFit="1" customWidth="1"/>
    <col min="2" max="2" width="8.7109375" style="107" customWidth="1"/>
    <col min="3" max="3" width="11.42578125" style="107" customWidth="1"/>
    <col min="4" max="4" width="9.42578125" style="107" customWidth="1"/>
    <col min="5" max="5" width="10.85546875" style="107" customWidth="1"/>
    <col min="6" max="7" width="9.42578125" style="107" customWidth="1"/>
    <col min="8" max="8" width="8.28515625" style="107" customWidth="1"/>
    <col min="9" max="9" width="1.140625" customWidth="1"/>
    <col min="10" max="10" width="11.7109375" customWidth="1"/>
  </cols>
  <sheetData>
    <row r="1" spans="1:10" ht="15" x14ac:dyDescent="0.2">
      <c r="A1" s="920" t="s">
        <v>881</v>
      </c>
      <c r="B1" s="920"/>
      <c r="C1" s="920"/>
      <c r="D1" s="920"/>
      <c r="E1" s="920"/>
    </row>
    <row r="2" spans="1:10" ht="13.5" thickBot="1" x14ac:dyDescent="0.25">
      <c r="A2" s="468"/>
    </row>
    <row r="3" spans="1:10" ht="45" x14ac:dyDescent="0.2">
      <c r="A3" s="728" t="s">
        <v>657</v>
      </c>
      <c r="B3" s="729" t="s">
        <v>763</v>
      </c>
      <c r="C3" s="729" t="s">
        <v>733</v>
      </c>
      <c r="D3" s="729" t="s">
        <v>734</v>
      </c>
      <c r="E3" s="729" t="s">
        <v>735</v>
      </c>
      <c r="F3" s="729" t="s">
        <v>736</v>
      </c>
      <c r="G3" s="729" t="s">
        <v>737</v>
      </c>
      <c r="H3" s="730" t="s">
        <v>738</v>
      </c>
    </row>
    <row r="4" spans="1:10" x14ac:dyDescent="0.2">
      <c r="A4" s="731" t="s">
        <v>444</v>
      </c>
      <c r="B4" s="732">
        <v>1.4649000000000001</v>
      </c>
      <c r="C4" s="732">
        <v>91.376999999999995</v>
      </c>
      <c r="D4" s="732">
        <v>1.8599999999999998E-2</v>
      </c>
      <c r="E4" s="732">
        <v>6.1909999999999998</v>
      </c>
      <c r="F4" s="732">
        <v>8.8999999999999999E-3</v>
      </c>
      <c r="G4" s="732">
        <v>6.1269999999999998</v>
      </c>
      <c r="H4" s="733">
        <f>SUM(B4:G4)</f>
        <v>105.1874</v>
      </c>
    </row>
    <row r="5" spans="1:10" x14ac:dyDescent="0.2">
      <c r="A5" s="731" t="s">
        <v>445</v>
      </c>
      <c r="B5" s="732">
        <v>0.44679999999999997</v>
      </c>
      <c r="C5" s="732">
        <v>39.536000000000001</v>
      </c>
      <c r="D5" s="732">
        <v>0</v>
      </c>
      <c r="E5" s="732">
        <v>0</v>
      </c>
      <c r="F5" s="732">
        <v>0</v>
      </c>
      <c r="G5" s="732">
        <v>0</v>
      </c>
      <c r="H5" s="733">
        <f t="shared" ref="H5:H18" si="0">SUM(B5:G5)</f>
        <v>39.982800000000005</v>
      </c>
    </row>
    <row r="6" spans="1:10" x14ac:dyDescent="0.2">
      <c r="A6" s="731" t="s">
        <v>298</v>
      </c>
      <c r="B6" s="732">
        <v>1.2885</v>
      </c>
      <c r="C6" s="732">
        <v>6.2080000000000002</v>
      </c>
      <c r="D6" s="732">
        <v>0.10249999999999999</v>
      </c>
      <c r="E6" s="732">
        <v>1.2010000000000001</v>
      </c>
      <c r="F6" s="732">
        <v>1.7399999999999999E-2</v>
      </c>
      <c r="G6" s="732">
        <v>6.5720000000000001</v>
      </c>
      <c r="H6" s="733">
        <f t="shared" si="0"/>
        <v>15.389400000000002</v>
      </c>
    </row>
    <row r="7" spans="1:10" x14ac:dyDescent="0.2">
      <c r="A7" s="731" t="s">
        <v>299</v>
      </c>
      <c r="B7" s="732">
        <v>0.98939999999999995</v>
      </c>
      <c r="C7" s="732">
        <v>53.216999999999999</v>
      </c>
      <c r="D7" s="732">
        <v>0.18959999999999999</v>
      </c>
      <c r="E7" s="732">
        <v>15.196999999999999</v>
      </c>
      <c r="F7" s="732">
        <v>4.6399999999999997E-2</v>
      </c>
      <c r="G7" s="732">
        <v>24.991</v>
      </c>
      <c r="H7" s="733">
        <f t="shared" si="0"/>
        <v>94.630400000000009</v>
      </c>
    </row>
    <row r="8" spans="1:10" x14ac:dyDescent="0.2">
      <c r="A8" s="731" t="s">
        <v>401</v>
      </c>
      <c r="B8" s="732">
        <v>14.135199999999999</v>
      </c>
      <c r="C8" s="732">
        <v>108.134</v>
      </c>
      <c r="D8" s="732">
        <v>0</v>
      </c>
      <c r="E8" s="732">
        <v>0</v>
      </c>
      <c r="F8" s="732">
        <v>0</v>
      </c>
      <c r="G8" s="732">
        <v>0</v>
      </c>
      <c r="H8" s="733">
        <f t="shared" si="0"/>
        <v>122.2692</v>
      </c>
    </row>
    <row r="9" spans="1:10" x14ac:dyDescent="0.2">
      <c r="A9" s="731" t="s">
        <v>300</v>
      </c>
      <c r="B9" s="732">
        <v>0</v>
      </c>
      <c r="C9" s="732">
        <v>2.9000000000000001E-2</v>
      </c>
      <c r="D9" s="732">
        <v>1.0516000000000001</v>
      </c>
      <c r="E9" s="732">
        <v>48.042999999999999</v>
      </c>
      <c r="F9" s="732">
        <v>62.0107</v>
      </c>
      <c r="G9" s="732">
        <v>192.68899999999999</v>
      </c>
      <c r="H9" s="733">
        <f t="shared" si="0"/>
        <v>303.82330000000002</v>
      </c>
    </row>
    <row r="10" spans="1:10" x14ac:dyDescent="0.2">
      <c r="A10" s="731" t="s">
        <v>301</v>
      </c>
      <c r="B10" s="732">
        <v>0.60170000000000001</v>
      </c>
      <c r="C10" s="732">
        <v>2.2290000000000001</v>
      </c>
      <c r="D10" s="732">
        <v>0.29149999999999998</v>
      </c>
      <c r="E10" s="732">
        <v>0.74199999999999999</v>
      </c>
      <c r="F10" s="732">
        <v>0.1222</v>
      </c>
      <c r="G10" s="732">
        <v>7.9850000000000003</v>
      </c>
      <c r="H10" s="733">
        <f t="shared" si="0"/>
        <v>11.971400000000001</v>
      </c>
    </row>
    <row r="11" spans="1:10" x14ac:dyDescent="0.2">
      <c r="A11" s="731" t="s">
        <v>302</v>
      </c>
      <c r="B11" s="732">
        <v>2.9411</v>
      </c>
      <c r="C11" s="732">
        <v>21.715</v>
      </c>
      <c r="D11" s="732">
        <v>0.2351</v>
      </c>
      <c r="E11" s="732">
        <v>5.2910000000000004</v>
      </c>
      <c r="F11" s="732">
        <v>2.2582</v>
      </c>
      <c r="G11" s="732">
        <v>16.702000000000002</v>
      </c>
      <c r="H11" s="733">
        <f t="shared" si="0"/>
        <v>49.142399999999995</v>
      </c>
    </row>
    <row r="12" spans="1:10" x14ac:dyDescent="0.2">
      <c r="A12" s="731" t="s">
        <v>303</v>
      </c>
      <c r="B12" s="732">
        <v>7.7399999999999997E-2</v>
      </c>
      <c r="C12" s="732">
        <v>17.457999999999998</v>
      </c>
      <c r="D12" s="732">
        <v>3.3E-3</v>
      </c>
      <c r="E12" s="732">
        <v>3.3450000000000002</v>
      </c>
      <c r="F12" s="732">
        <v>5.04E-2</v>
      </c>
      <c r="G12" s="732">
        <v>3.8570000000000002</v>
      </c>
      <c r="H12" s="733">
        <f t="shared" si="0"/>
        <v>24.791099999999997</v>
      </c>
    </row>
    <row r="13" spans="1:10" x14ac:dyDescent="0.2">
      <c r="A13" s="731" t="s">
        <v>265</v>
      </c>
      <c r="B13" s="732">
        <v>1.8732</v>
      </c>
      <c r="C13" s="732">
        <v>0</v>
      </c>
      <c r="D13" s="732">
        <v>0</v>
      </c>
      <c r="E13" s="732">
        <v>0</v>
      </c>
      <c r="F13" s="732">
        <v>0</v>
      </c>
      <c r="G13" s="732">
        <v>0</v>
      </c>
      <c r="H13" s="733">
        <f t="shared" si="0"/>
        <v>1.8732</v>
      </c>
    </row>
    <row r="14" spans="1:10" x14ac:dyDescent="0.2">
      <c r="A14" s="731" t="s">
        <v>304</v>
      </c>
      <c r="B14" s="732">
        <v>7.0773999999999999</v>
      </c>
      <c r="C14" s="732">
        <v>1.506</v>
      </c>
      <c r="D14" s="732">
        <v>0</v>
      </c>
      <c r="E14" s="732">
        <v>0</v>
      </c>
      <c r="F14" s="732">
        <v>0</v>
      </c>
      <c r="G14" s="732">
        <v>0</v>
      </c>
      <c r="H14" s="733">
        <f t="shared" si="0"/>
        <v>8.5833999999999993</v>
      </c>
      <c r="J14" s="829" t="s">
        <v>446</v>
      </c>
    </row>
    <row r="15" spans="1:10" x14ac:dyDescent="0.2">
      <c r="A15" s="731" t="s">
        <v>305</v>
      </c>
      <c r="B15" s="732">
        <v>2.8847999999999998</v>
      </c>
      <c r="C15" s="732">
        <v>5.6219999999999999</v>
      </c>
      <c r="D15" s="732">
        <v>0</v>
      </c>
      <c r="E15" s="732">
        <v>0</v>
      </c>
      <c r="F15" s="732">
        <v>0</v>
      </c>
      <c r="G15" s="732">
        <v>0</v>
      </c>
      <c r="H15" s="733">
        <f t="shared" si="0"/>
        <v>8.5068000000000001</v>
      </c>
      <c r="J15" s="829" t="s">
        <v>648</v>
      </c>
    </row>
    <row r="16" spans="1:10" x14ac:dyDescent="0.2">
      <c r="A16" s="731" t="s">
        <v>306</v>
      </c>
      <c r="B16" s="732">
        <v>2.2800000000000001E-2</v>
      </c>
      <c r="C16" s="732">
        <v>11.221</v>
      </c>
      <c r="D16" s="732">
        <v>5.5300000000000002E-2</v>
      </c>
      <c r="E16" s="732">
        <v>6.0759999999999996</v>
      </c>
      <c r="F16" s="732">
        <v>0.75280000000000002</v>
      </c>
      <c r="G16" s="732">
        <v>19.885000000000002</v>
      </c>
      <c r="H16" s="733">
        <f t="shared" si="0"/>
        <v>38.012900000000002</v>
      </c>
      <c r="J16" s="829" t="s">
        <v>649</v>
      </c>
    </row>
    <row r="17" spans="1:10" x14ac:dyDescent="0.2">
      <c r="A17" s="731" t="s">
        <v>882</v>
      </c>
      <c r="B17" s="732">
        <v>0.24890000000000001</v>
      </c>
      <c r="C17" s="732">
        <v>0.85899999999999999</v>
      </c>
      <c r="D17" s="732">
        <v>0</v>
      </c>
      <c r="E17" s="732">
        <v>0</v>
      </c>
      <c r="F17" s="732">
        <v>0</v>
      </c>
      <c r="G17" s="732">
        <v>0</v>
      </c>
      <c r="H17" s="733">
        <f t="shared" si="0"/>
        <v>1.1078999999999999</v>
      </c>
      <c r="J17" s="829" t="s">
        <v>447</v>
      </c>
    </row>
    <row r="18" spans="1:10" ht="13.5" thickBot="1" x14ac:dyDescent="0.25">
      <c r="A18" s="731" t="s">
        <v>307</v>
      </c>
      <c r="B18" s="830">
        <v>0.93179999999999996</v>
      </c>
      <c r="C18" s="830">
        <v>21.623999999999999</v>
      </c>
      <c r="D18" s="830">
        <v>8.5699999999999998E-2</v>
      </c>
      <c r="E18" s="830">
        <v>3.456</v>
      </c>
      <c r="F18" s="830">
        <v>1.2E-2</v>
      </c>
      <c r="G18" s="830">
        <v>3.5259999999999998</v>
      </c>
      <c r="H18" s="831">
        <f t="shared" si="0"/>
        <v>29.635499999999997</v>
      </c>
    </row>
    <row r="19" spans="1:10" ht="15.75" thickBot="1" x14ac:dyDescent="0.25">
      <c r="A19" s="734" t="s">
        <v>650</v>
      </c>
      <c r="B19" s="832">
        <f>SUM(B4:B18)</f>
        <v>34.983899999999998</v>
      </c>
      <c r="C19" s="832">
        <f t="shared" ref="C19:G19" si="1">SUM(C4:C18)</f>
        <v>380.73500000000001</v>
      </c>
      <c r="D19" s="832">
        <f t="shared" si="1"/>
        <v>2.0331999999999999</v>
      </c>
      <c r="E19" s="832">
        <f t="shared" si="1"/>
        <v>89.542000000000002</v>
      </c>
      <c r="F19" s="832">
        <f t="shared" si="1"/>
        <v>65.278999999999982</v>
      </c>
      <c r="G19" s="832">
        <f t="shared" si="1"/>
        <v>282.334</v>
      </c>
      <c r="H19" s="833">
        <f>SUM(B19:G19)</f>
        <v>854.90710000000013</v>
      </c>
      <c r="J19" s="735">
        <f>SUM(D19:G19)</f>
        <v>439.18819999999999</v>
      </c>
    </row>
    <row r="20" spans="1:10" x14ac:dyDescent="0.2">
      <c r="A20" s="731" t="s">
        <v>308</v>
      </c>
      <c r="B20" s="834">
        <v>0</v>
      </c>
      <c r="C20" s="834">
        <v>0</v>
      </c>
      <c r="D20" s="834">
        <v>0</v>
      </c>
      <c r="E20" s="834">
        <v>0</v>
      </c>
      <c r="F20" s="834">
        <v>0</v>
      </c>
      <c r="G20" s="834">
        <v>0</v>
      </c>
      <c r="H20" s="834">
        <f>SUM(B20:G20)</f>
        <v>0</v>
      </c>
    </row>
    <row r="21" spans="1:10" x14ac:dyDescent="0.2">
      <c r="A21" s="731" t="s">
        <v>309</v>
      </c>
      <c r="B21" s="732">
        <v>25.392700000000001</v>
      </c>
      <c r="C21" s="732">
        <v>30.062000000000001</v>
      </c>
      <c r="D21" s="732">
        <v>0.2747</v>
      </c>
      <c r="E21" s="732">
        <v>0.30199999999999999</v>
      </c>
      <c r="F21" s="732">
        <v>0</v>
      </c>
      <c r="G21" s="732">
        <v>2.7E-2</v>
      </c>
      <c r="H21" s="834">
        <f t="shared" ref="H21:H46" si="2">SUM(B21:G21)</f>
        <v>56.058400000000006</v>
      </c>
    </row>
    <row r="22" spans="1:10" x14ac:dyDescent="0.2">
      <c r="A22" s="731" t="s">
        <v>310</v>
      </c>
      <c r="B22" s="732">
        <v>0.1797</v>
      </c>
      <c r="C22" s="732">
        <v>0</v>
      </c>
      <c r="D22" s="732">
        <v>1.8306</v>
      </c>
      <c r="E22" s="732">
        <v>0</v>
      </c>
      <c r="F22" s="732">
        <v>4.0091999999999999</v>
      </c>
      <c r="G22" s="732">
        <v>0</v>
      </c>
      <c r="H22" s="834">
        <f t="shared" si="2"/>
        <v>6.0194999999999999</v>
      </c>
    </row>
    <row r="23" spans="1:10" x14ac:dyDescent="0.2">
      <c r="A23" s="731" t="s">
        <v>311</v>
      </c>
      <c r="B23" s="732">
        <v>0</v>
      </c>
      <c r="C23" s="732">
        <v>0</v>
      </c>
      <c r="D23" s="732">
        <v>0.75290000000000001</v>
      </c>
      <c r="E23" s="732">
        <v>3.97</v>
      </c>
      <c r="F23" s="732">
        <v>10.9239</v>
      </c>
      <c r="G23" s="732">
        <v>4.1000000000000002E-2</v>
      </c>
      <c r="H23" s="834">
        <f t="shared" si="2"/>
        <v>15.687799999999999</v>
      </c>
    </row>
    <row r="24" spans="1:10" x14ac:dyDescent="0.2">
      <c r="A24" s="731" t="s">
        <v>312</v>
      </c>
      <c r="B24" s="732">
        <v>0.85550000000000004</v>
      </c>
      <c r="C24" s="732">
        <v>16.771000000000001</v>
      </c>
      <c r="D24" s="732">
        <v>6.1800000000000001E-2</v>
      </c>
      <c r="E24" s="732">
        <v>4.4530000000000003</v>
      </c>
      <c r="F24" s="732">
        <v>3.5665</v>
      </c>
      <c r="G24" s="732">
        <v>0.27800000000000002</v>
      </c>
      <c r="H24" s="834">
        <f t="shared" si="2"/>
        <v>25.985800000000001</v>
      </c>
    </row>
    <row r="25" spans="1:10" x14ac:dyDescent="0.2">
      <c r="A25" s="731" t="s">
        <v>313</v>
      </c>
      <c r="B25" s="834">
        <v>0</v>
      </c>
      <c r="C25" s="834">
        <v>0</v>
      </c>
      <c r="D25" s="834">
        <v>0</v>
      </c>
      <c r="E25" s="834">
        <v>0</v>
      </c>
      <c r="F25" s="834">
        <v>0</v>
      </c>
      <c r="G25" s="834">
        <v>0</v>
      </c>
      <c r="H25" s="834">
        <f t="shared" si="2"/>
        <v>0</v>
      </c>
    </row>
    <row r="26" spans="1:10" x14ac:dyDescent="0.2">
      <c r="A26" s="731" t="s">
        <v>207</v>
      </c>
      <c r="B26" s="732">
        <v>1.3493999999999999</v>
      </c>
      <c r="C26" s="732">
        <v>8.5540000000000003</v>
      </c>
      <c r="D26" s="732">
        <v>0.1216</v>
      </c>
      <c r="E26" s="732">
        <v>1.361</v>
      </c>
      <c r="F26" s="732">
        <v>0</v>
      </c>
      <c r="G26" s="732">
        <v>2.508</v>
      </c>
      <c r="H26" s="834">
        <f t="shared" si="2"/>
        <v>13.894000000000002</v>
      </c>
    </row>
    <row r="27" spans="1:10" ht="13.5" thickBot="1" x14ac:dyDescent="0.25">
      <c r="A27" s="731" t="s">
        <v>314</v>
      </c>
      <c r="B27" s="830">
        <v>3.0312000000000001</v>
      </c>
      <c r="C27" s="830">
        <v>14.929</v>
      </c>
      <c r="D27" s="830">
        <v>0.1797</v>
      </c>
      <c r="E27" s="830">
        <v>3.93</v>
      </c>
      <c r="F27" s="830">
        <v>0</v>
      </c>
      <c r="G27" s="830">
        <v>1.827</v>
      </c>
      <c r="H27" s="830">
        <f t="shared" si="2"/>
        <v>23.896900000000002</v>
      </c>
    </row>
    <row r="28" spans="1:10" ht="15.75" thickBot="1" x14ac:dyDescent="0.25">
      <c r="A28" s="734" t="s">
        <v>658</v>
      </c>
      <c r="B28" s="832">
        <f>SUM(B20:B27)</f>
        <v>30.808500000000002</v>
      </c>
      <c r="C28" s="832">
        <f t="shared" ref="C28:G28" si="3">SUM(C20:C27)</f>
        <v>70.316000000000003</v>
      </c>
      <c r="D28" s="832">
        <f t="shared" si="3"/>
        <v>3.2212999999999998</v>
      </c>
      <c r="E28" s="832">
        <f t="shared" si="3"/>
        <v>14.016000000000002</v>
      </c>
      <c r="F28" s="832">
        <f t="shared" si="3"/>
        <v>18.499600000000001</v>
      </c>
      <c r="G28" s="832">
        <f t="shared" si="3"/>
        <v>4.681</v>
      </c>
      <c r="H28" s="832">
        <f>SUM(B28:G28)</f>
        <v>141.54240000000001</v>
      </c>
    </row>
    <row r="29" spans="1:10" x14ac:dyDescent="0.2">
      <c r="A29" s="731" t="s">
        <v>315</v>
      </c>
      <c r="B29" s="732">
        <v>14.881500000000001</v>
      </c>
      <c r="C29" s="732">
        <v>0</v>
      </c>
      <c r="D29" s="732">
        <v>5.7698</v>
      </c>
      <c r="E29" s="732">
        <v>0</v>
      </c>
      <c r="F29" s="732">
        <v>7.3916000000000004</v>
      </c>
      <c r="G29" s="732">
        <v>0</v>
      </c>
      <c r="H29" s="834">
        <f>SUM(B29:G29)</f>
        <v>28.042899999999999</v>
      </c>
    </row>
    <row r="30" spans="1:10" x14ac:dyDescent="0.2">
      <c r="A30" s="731" t="s">
        <v>883</v>
      </c>
      <c r="B30" s="834">
        <v>0</v>
      </c>
      <c r="C30" s="834">
        <v>0</v>
      </c>
      <c r="D30" s="834">
        <v>0</v>
      </c>
      <c r="E30" s="834">
        <v>0</v>
      </c>
      <c r="F30" s="834">
        <v>0</v>
      </c>
      <c r="G30" s="834">
        <v>0</v>
      </c>
      <c r="H30" s="834">
        <f t="shared" ref="H30:H40" si="4">SUM(B30:G30)</f>
        <v>0</v>
      </c>
    </row>
    <row r="31" spans="1:10" x14ac:dyDescent="0.2">
      <c r="A31" s="731" t="s">
        <v>884</v>
      </c>
      <c r="B31" s="834">
        <v>0</v>
      </c>
      <c r="C31" s="834">
        <v>0</v>
      </c>
      <c r="D31" s="834">
        <v>0</v>
      </c>
      <c r="E31" s="834">
        <v>0</v>
      </c>
      <c r="F31" s="834">
        <v>0</v>
      </c>
      <c r="G31" s="834">
        <v>0</v>
      </c>
      <c r="H31" s="834">
        <f t="shared" si="4"/>
        <v>0</v>
      </c>
    </row>
    <row r="32" spans="1:10" x14ac:dyDescent="0.2">
      <c r="A32" s="731" t="s">
        <v>885</v>
      </c>
      <c r="B32" s="834">
        <v>0</v>
      </c>
      <c r="C32" s="834">
        <v>0</v>
      </c>
      <c r="D32" s="834">
        <v>0</v>
      </c>
      <c r="E32" s="834">
        <v>0</v>
      </c>
      <c r="F32" s="834">
        <v>0</v>
      </c>
      <c r="G32" s="834">
        <v>0</v>
      </c>
      <c r="H32" s="834">
        <f t="shared" si="4"/>
        <v>0</v>
      </c>
    </row>
    <row r="33" spans="1:8" x14ac:dyDescent="0.2">
      <c r="A33" s="731" t="s">
        <v>886</v>
      </c>
      <c r="B33" s="834">
        <v>0</v>
      </c>
      <c r="C33" s="834">
        <v>0</v>
      </c>
      <c r="D33" s="834">
        <v>0</v>
      </c>
      <c r="E33" s="834">
        <v>0</v>
      </c>
      <c r="F33" s="834">
        <v>0</v>
      </c>
      <c r="G33" s="834">
        <v>0</v>
      </c>
      <c r="H33" s="834">
        <f t="shared" si="4"/>
        <v>0</v>
      </c>
    </row>
    <row r="34" spans="1:8" x14ac:dyDescent="0.2">
      <c r="A34" s="731" t="s">
        <v>316</v>
      </c>
      <c r="B34" s="732">
        <v>3.6812</v>
      </c>
      <c r="C34" s="732">
        <v>0.73</v>
      </c>
      <c r="D34" s="732">
        <v>1.8549</v>
      </c>
      <c r="E34" s="732">
        <v>4.8000000000000001E-2</v>
      </c>
      <c r="F34" s="732">
        <v>3.6192000000000002</v>
      </c>
      <c r="G34" s="732">
        <v>0.105</v>
      </c>
      <c r="H34" s="834">
        <f t="shared" si="4"/>
        <v>10.0383</v>
      </c>
    </row>
    <row r="35" spans="1:8" x14ac:dyDescent="0.2">
      <c r="A35" s="731" t="s">
        <v>317</v>
      </c>
      <c r="B35" s="732">
        <v>3.1265000000000001</v>
      </c>
      <c r="C35" s="732">
        <v>0</v>
      </c>
      <c r="D35" s="732">
        <v>0.15720000000000001</v>
      </c>
      <c r="E35" s="732">
        <v>0</v>
      </c>
      <c r="F35" s="732">
        <v>1.2713000000000001</v>
      </c>
      <c r="G35" s="732">
        <v>0</v>
      </c>
      <c r="H35" s="834">
        <f t="shared" si="4"/>
        <v>4.5549999999999997</v>
      </c>
    </row>
    <row r="36" spans="1:8" x14ac:dyDescent="0.2">
      <c r="A36" s="731" t="s">
        <v>318</v>
      </c>
      <c r="B36" s="732">
        <v>0.95330000000000004</v>
      </c>
      <c r="C36" s="732">
        <v>0</v>
      </c>
      <c r="D36" s="732">
        <v>0.35539999999999999</v>
      </c>
      <c r="E36" s="732">
        <v>0</v>
      </c>
      <c r="F36" s="732">
        <v>0.31780000000000003</v>
      </c>
      <c r="G36" s="732">
        <v>0</v>
      </c>
      <c r="H36" s="834">
        <f t="shared" si="4"/>
        <v>1.6265000000000001</v>
      </c>
    </row>
    <row r="37" spans="1:8" x14ac:dyDescent="0.2">
      <c r="A37" s="731" t="s">
        <v>739</v>
      </c>
      <c r="B37" s="732">
        <v>0</v>
      </c>
      <c r="C37" s="732">
        <v>0</v>
      </c>
      <c r="D37" s="732">
        <v>0</v>
      </c>
      <c r="E37" s="732">
        <v>0</v>
      </c>
      <c r="F37" s="732">
        <v>0</v>
      </c>
      <c r="G37" s="732">
        <v>0</v>
      </c>
      <c r="H37" s="834">
        <f t="shared" si="4"/>
        <v>0</v>
      </c>
    </row>
    <row r="38" spans="1:8" x14ac:dyDescent="0.2">
      <c r="A38" s="731" t="s">
        <v>319</v>
      </c>
      <c r="B38" s="732">
        <v>0.82099999999999995</v>
      </c>
      <c r="C38" s="732">
        <v>0</v>
      </c>
      <c r="D38" s="732">
        <v>0.42830000000000001</v>
      </c>
      <c r="E38" s="732">
        <v>0</v>
      </c>
      <c r="F38" s="732">
        <v>0</v>
      </c>
      <c r="G38" s="732">
        <v>0</v>
      </c>
      <c r="H38" s="834">
        <f t="shared" si="4"/>
        <v>1.2492999999999999</v>
      </c>
    </row>
    <row r="39" spans="1:8" x14ac:dyDescent="0.2">
      <c r="A39" s="731" t="s">
        <v>448</v>
      </c>
      <c r="B39" s="732">
        <v>3.4099999999999998E-2</v>
      </c>
      <c r="C39" s="732">
        <v>0</v>
      </c>
      <c r="D39" s="732">
        <v>0.1195</v>
      </c>
      <c r="E39" s="732">
        <v>0</v>
      </c>
      <c r="F39" s="732">
        <v>0</v>
      </c>
      <c r="G39" s="732">
        <v>0</v>
      </c>
      <c r="H39" s="834">
        <f t="shared" si="4"/>
        <v>0.15359999999999999</v>
      </c>
    </row>
    <row r="40" spans="1:8" ht="13.5" thickBot="1" x14ac:dyDescent="0.25">
      <c r="A40" s="731" t="s">
        <v>320</v>
      </c>
      <c r="B40" s="830">
        <v>2.6341999999999999</v>
      </c>
      <c r="C40" s="830">
        <v>0</v>
      </c>
      <c r="D40" s="830">
        <v>2.3431999999999999</v>
      </c>
      <c r="E40" s="830">
        <v>0</v>
      </c>
      <c r="F40" s="830">
        <v>5.0476000000000001</v>
      </c>
      <c r="G40" s="830">
        <v>0</v>
      </c>
      <c r="H40" s="830">
        <f t="shared" si="4"/>
        <v>10.024999999999999</v>
      </c>
    </row>
    <row r="41" spans="1:8" ht="15.75" thickBot="1" x14ac:dyDescent="0.25">
      <c r="A41" s="734" t="s">
        <v>659</v>
      </c>
      <c r="B41" s="832">
        <f>SUM(B29:B40)</f>
        <v>26.131799999999998</v>
      </c>
      <c r="C41" s="832">
        <f t="shared" ref="C41:G41" si="5">SUM(C29:C40)</f>
        <v>0.73</v>
      </c>
      <c r="D41" s="832">
        <f t="shared" si="5"/>
        <v>11.0283</v>
      </c>
      <c r="E41" s="832">
        <f t="shared" si="5"/>
        <v>4.8000000000000001E-2</v>
      </c>
      <c r="F41" s="832">
        <f t="shared" si="5"/>
        <v>17.647500000000001</v>
      </c>
      <c r="G41" s="832">
        <f t="shared" si="5"/>
        <v>0.105</v>
      </c>
      <c r="H41" s="832">
        <f>SUM(B41:G41)</f>
        <v>55.690599999999996</v>
      </c>
    </row>
    <row r="42" spans="1:8" x14ac:dyDescent="0.2">
      <c r="A42" s="731" t="s">
        <v>887</v>
      </c>
      <c r="B42" s="834">
        <v>0</v>
      </c>
      <c r="C42" s="834">
        <v>0</v>
      </c>
      <c r="D42" s="834">
        <v>0</v>
      </c>
      <c r="E42" s="834">
        <v>0</v>
      </c>
      <c r="F42" s="834">
        <v>0</v>
      </c>
      <c r="G42" s="834">
        <v>0</v>
      </c>
      <c r="H42" s="834">
        <f t="shared" si="2"/>
        <v>0</v>
      </c>
    </row>
    <row r="43" spans="1:8" ht="25.5" x14ac:dyDescent="0.2">
      <c r="A43" s="731" t="s">
        <v>322</v>
      </c>
      <c r="B43" s="732">
        <v>0</v>
      </c>
      <c r="C43" s="732">
        <v>0</v>
      </c>
      <c r="D43" s="732">
        <v>0</v>
      </c>
      <c r="E43" s="732">
        <v>0</v>
      </c>
      <c r="F43" s="732">
        <v>1.0026999999999999</v>
      </c>
      <c r="G43" s="732">
        <v>0</v>
      </c>
      <c r="H43" s="834">
        <f t="shared" si="2"/>
        <v>1.0026999999999999</v>
      </c>
    </row>
    <row r="44" spans="1:8" ht="25.5" x14ac:dyDescent="0.2">
      <c r="A44" s="731" t="s">
        <v>321</v>
      </c>
      <c r="B44" s="732">
        <v>0</v>
      </c>
      <c r="C44" s="732">
        <v>0</v>
      </c>
      <c r="D44" s="732">
        <v>0</v>
      </c>
      <c r="E44" s="732">
        <v>0</v>
      </c>
      <c r="F44" s="732">
        <v>0</v>
      </c>
      <c r="G44" s="732">
        <v>0</v>
      </c>
      <c r="H44" s="834">
        <f t="shared" si="2"/>
        <v>0</v>
      </c>
    </row>
    <row r="45" spans="1:8" x14ac:dyDescent="0.2">
      <c r="A45" s="731" t="s">
        <v>888</v>
      </c>
      <c r="B45" s="834">
        <v>0</v>
      </c>
      <c r="C45" s="834">
        <v>0</v>
      </c>
      <c r="D45" s="834">
        <v>0</v>
      </c>
      <c r="E45" s="834">
        <v>0</v>
      </c>
      <c r="F45" s="834">
        <v>0</v>
      </c>
      <c r="G45" s="834">
        <v>0</v>
      </c>
      <c r="H45" s="834">
        <f t="shared" si="2"/>
        <v>0</v>
      </c>
    </row>
    <row r="46" spans="1:8" ht="13.5" thickBot="1" x14ac:dyDescent="0.25">
      <c r="A46" s="731" t="s">
        <v>323</v>
      </c>
      <c r="B46" s="830">
        <v>0</v>
      </c>
      <c r="C46" s="830">
        <v>0</v>
      </c>
      <c r="D46" s="830">
        <v>0</v>
      </c>
      <c r="E46" s="830">
        <v>0</v>
      </c>
      <c r="F46" s="830">
        <v>0</v>
      </c>
      <c r="G46" s="830">
        <v>0</v>
      </c>
      <c r="H46" s="830">
        <f t="shared" si="2"/>
        <v>0</v>
      </c>
    </row>
    <row r="47" spans="1:8" ht="15.75" thickBot="1" x14ac:dyDescent="0.25">
      <c r="A47" s="734" t="s">
        <v>740</v>
      </c>
      <c r="B47" s="832">
        <f>SUM(B42:B46)</f>
        <v>0</v>
      </c>
      <c r="C47" s="832">
        <f t="shared" ref="C47:G47" si="6">SUM(C42:C46)</f>
        <v>0</v>
      </c>
      <c r="D47" s="832">
        <f>SUM(D42:D46)</f>
        <v>0</v>
      </c>
      <c r="E47" s="832">
        <f t="shared" si="6"/>
        <v>0</v>
      </c>
      <c r="F47" s="832">
        <f t="shared" si="6"/>
        <v>1.0026999999999999</v>
      </c>
      <c r="G47" s="832">
        <f t="shared" si="6"/>
        <v>0</v>
      </c>
      <c r="H47" s="832">
        <v>20.63</v>
      </c>
    </row>
  </sheetData>
  <mergeCells count="1">
    <mergeCell ref="A1:E1"/>
  </mergeCells>
  <phoneticPr fontId="21" type="noConversion"/>
  <printOptions horizontalCentered="1"/>
  <pageMargins left="0" right="0" top="1.5" bottom="0.75" header="0.33" footer="0.5"/>
  <pageSetup scale="96" orientation="portrait" r:id="rId1"/>
  <headerFooter alignWithMargins="0">
    <oddHeader>&amp;C&amp;"Arial,Bold"&amp;12DEPARTMENT OF CORRECTIONS
 COST OF CARE Year 2021
(Based on Fiscal Year 2020 Actuals)</oddHeader>
    <oddFooter xml:space="preserve">&amp;L&amp;8&amp;F &amp;A&amp;R&amp;8&amp;D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tint="0.59999389629810485"/>
    <pageSetUpPr fitToPage="1"/>
  </sheetPr>
  <dimension ref="A1:R345"/>
  <sheetViews>
    <sheetView topLeftCell="A286" workbookViewId="0">
      <selection activeCell="A328" sqref="A328"/>
    </sheetView>
  </sheetViews>
  <sheetFormatPr defaultRowHeight="12.75" x14ac:dyDescent="0.2"/>
  <cols>
    <col min="1" max="1" width="16.7109375" bestFit="1" customWidth="1"/>
    <col min="7" max="7" width="10.28515625" bestFit="1" customWidth="1"/>
    <col min="16" max="16" width="9.5703125" customWidth="1"/>
    <col min="17" max="17" width="9.7109375" customWidth="1"/>
    <col min="18" max="18" width="11.28515625" customWidth="1"/>
    <col min="257" max="257" width="16.7109375" bestFit="1" customWidth="1"/>
    <col min="263" max="263" width="10.28515625" bestFit="1" customWidth="1"/>
    <col min="272" max="272" width="9.5703125" customWidth="1"/>
    <col min="273" max="273" width="9.7109375" customWidth="1"/>
    <col min="274" max="274" width="11.28515625" customWidth="1"/>
    <col min="513" max="513" width="16.7109375" bestFit="1" customWidth="1"/>
    <col min="519" max="519" width="10.28515625" bestFit="1" customWidth="1"/>
    <col min="528" max="528" width="9.5703125" customWidth="1"/>
    <col min="529" max="529" width="9.7109375" customWidth="1"/>
    <col min="530" max="530" width="11.28515625" customWidth="1"/>
    <col min="769" max="769" width="16.7109375" bestFit="1" customWidth="1"/>
    <col min="775" max="775" width="10.28515625" bestFit="1" customWidth="1"/>
    <col min="784" max="784" width="9.5703125" customWidth="1"/>
    <col min="785" max="785" width="9.7109375" customWidth="1"/>
    <col min="786" max="786" width="11.28515625" customWidth="1"/>
    <col min="1025" max="1025" width="16.7109375" bestFit="1" customWidth="1"/>
    <col min="1031" max="1031" width="10.28515625" bestFit="1" customWidth="1"/>
    <col min="1040" max="1040" width="9.5703125" customWidth="1"/>
    <col min="1041" max="1041" width="9.7109375" customWidth="1"/>
    <col min="1042" max="1042" width="11.28515625" customWidth="1"/>
    <col min="1281" max="1281" width="16.7109375" bestFit="1" customWidth="1"/>
    <col min="1287" max="1287" width="10.28515625" bestFit="1" customWidth="1"/>
    <col min="1296" max="1296" width="9.5703125" customWidth="1"/>
    <col min="1297" max="1297" width="9.7109375" customWidth="1"/>
    <col min="1298" max="1298" width="11.28515625" customWidth="1"/>
    <col min="1537" max="1537" width="16.7109375" bestFit="1" customWidth="1"/>
    <col min="1543" max="1543" width="10.28515625" bestFit="1" customWidth="1"/>
    <col min="1552" max="1552" width="9.5703125" customWidth="1"/>
    <col min="1553" max="1553" width="9.7109375" customWidth="1"/>
    <col min="1554" max="1554" width="11.28515625" customWidth="1"/>
    <col min="1793" max="1793" width="16.7109375" bestFit="1" customWidth="1"/>
    <col min="1799" max="1799" width="10.28515625" bestFit="1" customWidth="1"/>
    <col min="1808" max="1808" width="9.5703125" customWidth="1"/>
    <col min="1809" max="1809" width="9.7109375" customWidth="1"/>
    <col min="1810" max="1810" width="11.28515625" customWidth="1"/>
    <col min="2049" max="2049" width="16.7109375" bestFit="1" customWidth="1"/>
    <col min="2055" max="2055" width="10.28515625" bestFit="1" customWidth="1"/>
    <col min="2064" max="2064" width="9.5703125" customWidth="1"/>
    <col min="2065" max="2065" width="9.7109375" customWidth="1"/>
    <col min="2066" max="2066" width="11.28515625" customWidth="1"/>
    <col min="2305" max="2305" width="16.7109375" bestFit="1" customWidth="1"/>
    <col min="2311" max="2311" width="10.28515625" bestFit="1" customWidth="1"/>
    <col min="2320" max="2320" width="9.5703125" customWidth="1"/>
    <col min="2321" max="2321" width="9.7109375" customWidth="1"/>
    <col min="2322" max="2322" width="11.28515625" customWidth="1"/>
    <col min="2561" max="2561" width="16.7109375" bestFit="1" customWidth="1"/>
    <col min="2567" max="2567" width="10.28515625" bestFit="1" customWidth="1"/>
    <col min="2576" max="2576" width="9.5703125" customWidth="1"/>
    <col min="2577" max="2577" width="9.7109375" customWidth="1"/>
    <col min="2578" max="2578" width="11.28515625" customWidth="1"/>
    <col min="2817" max="2817" width="16.7109375" bestFit="1" customWidth="1"/>
    <col min="2823" max="2823" width="10.28515625" bestFit="1" customWidth="1"/>
    <col min="2832" max="2832" width="9.5703125" customWidth="1"/>
    <col min="2833" max="2833" width="9.7109375" customWidth="1"/>
    <col min="2834" max="2834" width="11.28515625" customWidth="1"/>
    <col min="3073" max="3073" width="16.7109375" bestFit="1" customWidth="1"/>
    <col min="3079" max="3079" width="10.28515625" bestFit="1" customWidth="1"/>
    <col min="3088" max="3088" width="9.5703125" customWidth="1"/>
    <col min="3089" max="3089" width="9.7109375" customWidth="1"/>
    <col min="3090" max="3090" width="11.28515625" customWidth="1"/>
    <col min="3329" max="3329" width="16.7109375" bestFit="1" customWidth="1"/>
    <col min="3335" max="3335" width="10.28515625" bestFit="1" customWidth="1"/>
    <col min="3344" max="3344" width="9.5703125" customWidth="1"/>
    <col min="3345" max="3345" width="9.7109375" customWidth="1"/>
    <col min="3346" max="3346" width="11.28515625" customWidth="1"/>
    <col min="3585" max="3585" width="16.7109375" bestFit="1" customWidth="1"/>
    <col min="3591" max="3591" width="10.28515625" bestFit="1" customWidth="1"/>
    <col min="3600" max="3600" width="9.5703125" customWidth="1"/>
    <col min="3601" max="3601" width="9.7109375" customWidth="1"/>
    <col min="3602" max="3602" width="11.28515625" customWidth="1"/>
    <col min="3841" max="3841" width="16.7109375" bestFit="1" customWidth="1"/>
    <col min="3847" max="3847" width="10.28515625" bestFit="1" customWidth="1"/>
    <col min="3856" max="3856" width="9.5703125" customWidth="1"/>
    <col min="3857" max="3857" width="9.7109375" customWidth="1"/>
    <col min="3858" max="3858" width="11.28515625" customWidth="1"/>
    <col min="4097" max="4097" width="16.7109375" bestFit="1" customWidth="1"/>
    <col min="4103" max="4103" width="10.28515625" bestFit="1" customWidth="1"/>
    <col min="4112" max="4112" width="9.5703125" customWidth="1"/>
    <col min="4113" max="4113" width="9.7109375" customWidth="1"/>
    <col min="4114" max="4114" width="11.28515625" customWidth="1"/>
    <col min="4353" max="4353" width="16.7109375" bestFit="1" customWidth="1"/>
    <col min="4359" max="4359" width="10.28515625" bestFit="1" customWidth="1"/>
    <col min="4368" max="4368" width="9.5703125" customWidth="1"/>
    <col min="4369" max="4369" width="9.7109375" customWidth="1"/>
    <col min="4370" max="4370" width="11.28515625" customWidth="1"/>
    <col min="4609" max="4609" width="16.7109375" bestFit="1" customWidth="1"/>
    <col min="4615" max="4615" width="10.28515625" bestFit="1" customWidth="1"/>
    <col min="4624" max="4624" width="9.5703125" customWidth="1"/>
    <col min="4625" max="4625" width="9.7109375" customWidth="1"/>
    <col min="4626" max="4626" width="11.28515625" customWidth="1"/>
    <col min="4865" max="4865" width="16.7109375" bestFit="1" customWidth="1"/>
    <col min="4871" max="4871" width="10.28515625" bestFit="1" customWidth="1"/>
    <col min="4880" max="4880" width="9.5703125" customWidth="1"/>
    <col min="4881" max="4881" width="9.7109375" customWidth="1"/>
    <col min="4882" max="4882" width="11.28515625" customWidth="1"/>
    <col min="5121" max="5121" width="16.7109375" bestFit="1" customWidth="1"/>
    <col min="5127" max="5127" width="10.28515625" bestFit="1" customWidth="1"/>
    <col min="5136" max="5136" width="9.5703125" customWidth="1"/>
    <col min="5137" max="5137" width="9.7109375" customWidth="1"/>
    <col min="5138" max="5138" width="11.28515625" customWidth="1"/>
    <col min="5377" max="5377" width="16.7109375" bestFit="1" customWidth="1"/>
    <col min="5383" max="5383" width="10.28515625" bestFit="1" customWidth="1"/>
    <col min="5392" max="5392" width="9.5703125" customWidth="1"/>
    <col min="5393" max="5393" width="9.7109375" customWidth="1"/>
    <col min="5394" max="5394" width="11.28515625" customWidth="1"/>
    <col min="5633" max="5633" width="16.7109375" bestFit="1" customWidth="1"/>
    <col min="5639" max="5639" width="10.28515625" bestFit="1" customWidth="1"/>
    <col min="5648" max="5648" width="9.5703125" customWidth="1"/>
    <col min="5649" max="5649" width="9.7109375" customWidth="1"/>
    <col min="5650" max="5650" width="11.28515625" customWidth="1"/>
    <col min="5889" max="5889" width="16.7109375" bestFit="1" customWidth="1"/>
    <col min="5895" max="5895" width="10.28515625" bestFit="1" customWidth="1"/>
    <col min="5904" max="5904" width="9.5703125" customWidth="1"/>
    <col min="5905" max="5905" width="9.7109375" customWidth="1"/>
    <col min="5906" max="5906" width="11.28515625" customWidth="1"/>
    <col min="6145" max="6145" width="16.7109375" bestFit="1" customWidth="1"/>
    <col min="6151" max="6151" width="10.28515625" bestFit="1" customWidth="1"/>
    <col min="6160" max="6160" width="9.5703125" customWidth="1"/>
    <col min="6161" max="6161" width="9.7109375" customWidth="1"/>
    <col min="6162" max="6162" width="11.28515625" customWidth="1"/>
    <col min="6401" max="6401" width="16.7109375" bestFit="1" customWidth="1"/>
    <col min="6407" max="6407" width="10.28515625" bestFit="1" customWidth="1"/>
    <col min="6416" max="6416" width="9.5703125" customWidth="1"/>
    <col min="6417" max="6417" width="9.7109375" customWidth="1"/>
    <col min="6418" max="6418" width="11.28515625" customWidth="1"/>
    <col min="6657" max="6657" width="16.7109375" bestFit="1" customWidth="1"/>
    <col min="6663" max="6663" width="10.28515625" bestFit="1" customWidth="1"/>
    <col min="6672" max="6672" width="9.5703125" customWidth="1"/>
    <col min="6673" max="6673" width="9.7109375" customWidth="1"/>
    <col min="6674" max="6674" width="11.28515625" customWidth="1"/>
    <col min="6913" max="6913" width="16.7109375" bestFit="1" customWidth="1"/>
    <col min="6919" max="6919" width="10.28515625" bestFit="1" customWidth="1"/>
    <col min="6928" max="6928" width="9.5703125" customWidth="1"/>
    <col min="6929" max="6929" width="9.7109375" customWidth="1"/>
    <col min="6930" max="6930" width="11.28515625" customWidth="1"/>
    <col min="7169" max="7169" width="16.7109375" bestFit="1" customWidth="1"/>
    <col min="7175" max="7175" width="10.28515625" bestFit="1" customWidth="1"/>
    <col min="7184" max="7184" width="9.5703125" customWidth="1"/>
    <col min="7185" max="7185" width="9.7109375" customWidth="1"/>
    <col min="7186" max="7186" width="11.28515625" customWidth="1"/>
    <col min="7425" max="7425" width="16.7109375" bestFit="1" customWidth="1"/>
    <col min="7431" max="7431" width="10.28515625" bestFit="1" customWidth="1"/>
    <col min="7440" max="7440" width="9.5703125" customWidth="1"/>
    <col min="7441" max="7441" width="9.7109375" customWidth="1"/>
    <col min="7442" max="7442" width="11.28515625" customWidth="1"/>
    <col min="7681" max="7681" width="16.7109375" bestFit="1" customWidth="1"/>
    <col min="7687" max="7687" width="10.28515625" bestFit="1" customWidth="1"/>
    <col min="7696" max="7696" width="9.5703125" customWidth="1"/>
    <col min="7697" max="7697" width="9.7109375" customWidth="1"/>
    <col min="7698" max="7698" width="11.28515625" customWidth="1"/>
    <col min="7937" max="7937" width="16.7109375" bestFit="1" customWidth="1"/>
    <col min="7943" max="7943" width="10.28515625" bestFit="1" customWidth="1"/>
    <col min="7952" max="7952" width="9.5703125" customWidth="1"/>
    <col min="7953" max="7953" width="9.7109375" customWidth="1"/>
    <col min="7954" max="7954" width="11.28515625" customWidth="1"/>
    <col min="8193" max="8193" width="16.7109375" bestFit="1" customWidth="1"/>
    <col min="8199" max="8199" width="10.28515625" bestFit="1" customWidth="1"/>
    <col min="8208" max="8208" width="9.5703125" customWidth="1"/>
    <col min="8209" max="8209" width="9.7109375" customWidth="1"/>
    <col min="8210" max="8210" width="11.28515625" customWidth="1"/>
    <col min="8449" max="8449" width="16.7109375" bestFit="1" customWidth="1"/>
    <col min="8455" max="8455" width="10.28515625" bestFit="1" customWidth="1"/>
    <col min="8464" max="8464" width="9.5703125" customWidth="1"/>
    <col min="8465" max="8465" width="9.7109375" customWidth="1"/>
    <col min="8466" max="8466" width="11.28515625" customWidth="1"/>
    <col min="8705" max="8705" width="16.7109375" bestFit="1" customWidth="1"/>
    <col min="8711" max="8711" width="10.28515625" bestFit="1" customWidth="1"/>
    <col min="8720" max="8720" width="9.5703125" customWidth="1"/>
    <col min="8721" max="8721" width="9.7109375" customWidth="1"/>
    <col min="8722" max="8722" width="11.28515625" customWidth="1"/>
    <col min="8961" max="8961" width="16.7109375" bestFit="1" customWidth="1"/>
    <col min="8967" max="8967" width="10.28515625" bestFit="1" customWidth="1"/>
    <col min="8976" max="8976" width="9.5703125" customWidth="1"/>
    <col min="8977" max="8977" width="9.7109375" customWidth="1"/>
    <col min="8978" max="8978" width="11.28515625" customWidth="1"/>
    <col min="9217" max="9217" width="16.7109375" bestFit="1" customWidth="1"/>
    <col min="9223" max="9223" width="10.28515625" bestFit="1" customWidth="1"/>
    <col min="9232" max="9232" width="9.5703125" customWidth="1"/>
    <col min="9233" max="9233" width="9.7109375" customWidth="1"/>
    <col min="9234" max="9234" width="11.28515625" customWidth="1"/>
    <col min="9473" max="9473" width="16.7109375" bestFit="1" customWidth="1"/>
    <col min="9479" max="9479" width="10.28515625" bestFit="1" customWidth="1"/>
    <col min="9488" max="9488" width="9.5703125" customWidth="1"/>
    <col min="9489" max="9489" width="9.7109375" customWidth="1"/>
    <col min="9490" max="9490" width="11.28515625" customWidth="1"/>
    <col min="9729" max="9729" width="16.7109375" bestFit="1" customWidth="1"/>
    <col min="9735" max="9735" width="10.28515625" bestFit="1" customWidth="1"/>
    <col min="9744" max="9744" width="9.5703125" customWidth="1"/>
    <col min="9745" max="9745" width="9.7109375" customWidth="1"/>
    <col min="9746" max="9746" width="11.28515625" customWidth="1"/>
    <col min="9985" max="9985" width="16.7109375" bestFit="1" customWidth="1"/>
    <col min="9991" max="9991" width="10.28515625" bestFit="1" customWidth="1"/>
    <col min="10000" max="10000" width="9.5703125" customWidth="1"/>
    <col min="10001" max="10001" width="9.7109375" customWidth="1"/>
    <col min="10002" max="10002" width="11.28515625" customWidth="1"/>
    <col min="10241" max="10241" width="16.7109375" bestFit="1" customWidth="1"/>
    <col min="10247" max="10247" width="10.28515625" bestFit="1" customWidth="1"/>
    <col min="10256" max="10256" width="9.5703125" customWidth="1"/>
    <col min="10257" max="10257" width="9.7109375" customWidth="1"/>
    <col min="10258" max="10258" width="11.28515625" customWidth="1"/>
    <col min="10497" max="10497" width="16.7109375" bestFit="1" customWidth="1"/>
    <col min="10503" max="10503" width="10.28515625" bestFit="1" customWidth="1"/>
    <col min="10512" max="10512" width="9.5703125" customWidth="1"/>
    <col min="10513" max="10513" width="9.7109375" customWidth="1"/>
    <col min="10514" max="10514" width="11.28515625" customWidth="1"/>
    <col min="10753" max="10753" width="16.7109375" bestFit="1" customWidth="1"/>
    <col min="10759" max="10759" width="10.28515625" bestFit="1" customWidth="1"/>
    <col min="10768" max="10768" width="9.5703125" customWidth="1"/>
    <col min="10769" max="10769" width="9.7109375" customWidth="1"/>
    <col min="10770" max="10770" width="11.28515625" customWidth="1"/>
    <col min="11009" max="11009" width="16.7109375" bestFit="1" customWidth="1"/>
    <col min="11015" max="11015" width="10.28515625" bestFit="1" customWidth="1"/>
    <col min="11024" max="11024" width="9.5703125" customWidth="1"/>
    <col min="11025" max="11025" width="9.7109375" customWidth="1"/>
    <col min="11026" max="11026" width="11.28515625" customWidth="1"/>
    <col min="11265" max="11265" width="16.7109375" bestFit="1" customWidth="1"/>
    <col min="11271" max="11271" width="10.28515625" bestFit="1" customWidth="1"/>
    <col min="11280" max="11280" width="9.5703125" customWidth="1"/>
    <col min="11281" max="11281" width="9.7109375" customWidth="1"/>
    <col min="11282" max="11282" width="11.28515625" customWidth="1"/>
    <col min="11521" max="11521" width="16.7109375" bestFit="1" customWidth="1"/>
    <col min="11527" max="11527" width="10.28515625" bestFit="1" customWidth="1"/>
    <col min="11536" max="11536" width="9.5703125" customWidth="1"/>
    <col min="11537" max="11537" width="9.7109375" customWidth="1"/>
    <col min="11538" max="11538" width="11.28515625" customWidth="1"/>
    <col min="11777" max="11777" width="16.7109375" bestFit="1" customWidth="1"/>
    <col min="11783" max="11783" width="10.28515625" bestFit="1" customWidth="1"/>
    <col min="11792" max="11792" width="9.5703125" customWidth="1"/>
    <col min="11793" max="11793" width="9.7109375" customWidth="1"/>
    <col min="11794" max="11794" width="11.28515625" customWidth="1"/>
    <col min="12033" max="12033" width="16.7109375" bestFit="1" customWidth="1"/>
    <col min="12039" max="12039" width="10.28515625" bestFit="1" customWidth="1"/>
    <col min="12048" max="12048" width="9.5703125" customWidth="1"/>
    <col min="12049" max="12049" width="9.7109375" customWidth="1"/>
    <col min="12050" max="12050" width="11.28515625" customWidth="1"/>
    <col min="12289" max="12289" width="16.7109375" bestFit="1" customWidth="1"/>
    <col min="12295" max="12295" width="10.28515625" bestFit="1" customWidth="1"/>
    <col min="12304" max="12304" width="9.5703125" customWidth="1"/>
    <col min="12305" max="12305" width="9.7109375" customWidth="1"/>
    <col min="12306" max="12306" width="11.28515625" customWidth="1"/>
    <col min="12545" max="12545" width="16.7109375" bestFit="1" customWidth="1"/>
    <col min="12551" max="12551" width="10.28515625" bestFit="1" customWidth="1"/>
    <col min="12560" max="12560" width="9.5703125" customWidth="1"/>
    <col min="12561" max="12561" width="9.7109375" customWidth="1"/>
    <col min="12562" max="12562" width="11.28515625" customWidth="1"/>
    <col min="12801" max="12801" width="16.7109375" bestFit="1" customWidth="1"/>
    <col min="12807" max="12807" width="10.28515625" bestFit="1" customWidth="1"/>
    <col min="12816" max="12816" width="9.5703125" customWidth="1"/>
    <col min="12817" max="12817" width="9.7109375" customWidth="1"/>
    <col min="12818" max="12818" width="11.28515625" customWidth="1"/>
    <col min="13057" max="13057" width="16.7109375" bestFit="1" customWidth="1"/>
    <col min="13063" max="13063" width="10.28515625" bestFit="1" customWidth="1"/>
    <col min="13072" max="13072" width="9.5703125" customWidth="1"/>
    <col min="13073" max="13073" width="9.7109375" customWidth="1"/>
    <col min="13074" max="13074" width="11.28515625" customWidth="1"/>
    <col min="13313" max="13313" width="16.7109375" bestFit="1" customWidth="1"/>
    <col min="13319" max="13319" width="10.28515625" bestFit="1" customWidth="1"/>
    <col min="13328" max="13328" width="9.5703125" customWidth="1"/>
    <col min="13329" max="13329" width="9.7109375" customWidth="1"/>
    <col min="13330" max="13330" width="11.28515625" customWidth="1"/>
    <col min="13569" max="13569" width="16.7109375" bestFit="1" customWidth="1"/>
    <col min="13575" max="13575" width="10.28515625" bestFit="1" customWidth="1"/>
    <col min="13584" max="13584" width="9.5703125" customWidth="1"/>
    <col min="13585" max="13585" width="9.7109375" customWidth="1"/>
    <col min="13586" max="13586" width="11.28515625" customWidth="1"/>
    <col min="13825" max="13825" width="16.7109375" bestFit="1" customWidth="1"/>
    <col min="13831" max="13831" width="10.28515625" bestFit="1" customWidth="1"/>
    <col min="13840" max="13840" width="9.5703125" customWidth="1"/>
    <col min="13841" max="13841" width="9.7109375" customWidth="1"/>
    <col min="13842" max="13842" width="11.28515625" customWidth="1"/>
    <col min="14081" max="14081" width="16.7109375" bestFit="1" customWidth="1"/>
    <col min="14087" max="14087" width="10.28515625" bestFit="1" customWidth="1"/>
    <col min="14096" max="14096" width="9.5703125" customWidth="1"/>
    <col min="14097" max="14097" width="9.7109375" customWidth="1"/>
    <col min="14098" max="14098" width="11.28515625" customWidth="1"/>
    <col min="14337" max="14337" width="16.7109375" bestFit="1" customWidth="1"/>
    <col min="14343" max="14343" width="10.28515625" bestFit="1" customWidth="1"/>
    <col min="14352" max="14352" width="9.5703125" customWidth="1"/>
    <col min="14353" max="14353" width="9.7109375" customWidth="1"/>
    <col min="14354" max="14354" width="11.28515625" customWidth="1"/>
    <col min="14593" max="14593" width="16.7109375" bestFit="1" customWidth="1"/>
    <col min="14599" max="14599" width="10.28515625" bestFit="1" customWidth="1"/>
    <col min="14608" max="14608" width="9.5703125" customWidth="1"/>
    <col min="14609" max="14609" width="9.7109375" customWidth="1"/>
    <col min="14610" max="14610" width="11.28515625" customWidth="1"/>
    <col min="14849" max="14849" width="16.7109375" bestFit="1" customWidth="1"/>
    <col min="14855" max="14855" width="10.28515625" bestFit="1" customWidth="1"/>
    <col min="14864" max="14864" width="9.5703125" customWidth="1"/>
    <col min="14865" max="14865" width="9.7109375" customWidth="1"/>
    <col min="14866" max="14866" width="11.28515625" customWidth="1"/>
    <col min="15105" max="15105" width="16.7109375" bestFit="1" customWidth="1"/>
    <col min="15111" max="15111" width="10.28515625" bestFit="1" customWidth="1"/>
    <col min="15120" max="15120" width="9.5703125" customWidth="1"/>
    <col min="15121" max="15121" width="9.7109375" customWidth="1"/>
    <col min="15122" max="15122" width="11.28515625" customWidth="1"/>
    <col min="15361" max="15361" width="16.7109375" bestFit="1" customWidth="1"/>
    <col min="15367" max="15367" width="10.28515625" bestFit="1" customWidth="1"/>
    <col min="15376" max="15376" width="9.5703125" customWidth="1"/>
    <col min="15377" max="15377" width="9.7109375" customWidth="1"/>
    <col min="15378" max="15378" width="11.28515625" customWidth="1"/>
    <col min="15617" max="15617" width="16.7109375" bestFit="1" customWidth="1"/>
    <col min="15623" max="15623" width="10.28515625" bestFit="1" customWidth="1"/>
    <col min="15632" max="15632" width="9.5703125" customWidth="1"/>
    <col min="15633" max="15633" width="9.7109375" customWidth="1"/>
    <col min="15634" max="15634" width="11.28515625" customWidth="1"/>
    <col min="15873" max="15873" width="16.7109375" bestFit="1" customWidth="1"/>
    <col min="15879" max="15879" width="10.28515625" bestFit="1" customWidth="1"/>
    <col min="15888" max="15888" width="9.5703125" customWidth="1"/>
    <col min="15889" max="15889" width="9.7109375" customWidth="1"/>
    <col min="15890" max="15890" width="11.28515625" customWidth="1"/>
    <col min="16129" max="16129" width="16.7109375" bestFit="1" customWidth="1"/>
    <col min="16135" max="16135" width="10.28515625" bestFit="1" customWidth="1"/>
    <col min="16144" max="16144" width="9.5703125" customWidth="1"/>
    <col min="16145" max="16145" width="9.7109375" customWidth="1"/>
    <col min="16146" max="16146" width="11.28515625" customWidth="1"/>
  </cols>
  <sheetData>
    <row r="1" spans="1:17" x14ac:dyDescent="0.2">
      <c r="A1" s="420"/>
      <c r="B1" s="420"/>
      <c r="C1" s="420"/>
      <c r="D1" s="420"/>
      <c r="E1" s="420"/>
      <c r="F1" s="420"/>
      <c r="G1" s="420"/>
      <c r="H1" s="420"/>
      <c r="I1" s="420"/>
      <c r="J1" s="420"/>
      <c r="K1" s="420"/>
      <c r="L1" s="420"/>
      <c r="M1" s="420"/>
      <c r="N1" s="420"/>
      <c r="O1" s="420"/>
      <c r="P1" s="420"/>
      <c r="Q1" s="420"/>
    </row>
    <row r="2" spans="1:17" ht="38.25" x14ac:dyDescent="0.2">
      <c r="A2" s="109" t="s">
        <v>334</v>
      </c>
      <c r="B2" s="110" t="s">
        <v>335</v>
      </c>
      <c r="C2" s="112" t="s">
        <v>336</v>
      </c>
      <c r="D2" s="112" t="s">
        <v>337</v>
      </c>
      <c r="E2" s="112" t="s">
        <v>338</v>
      </c>
      <c r="F2" s="112" t="s">
        <v>339</v>
      </c>
      <c r="G2" s="112" t="s">
        <v>340</v>
      </c>
      <c r="H2" s="112" t="s">
        <v>341</v>
      </c>
      <c r="I2" s="112" t="s">
        <v>342</v>
      </c>
      <c r="J2" s="112" t="s">
        <v>343</v>
      </c>
      <c r="K2" s="112" t="s">
        <v>344</v>
      </c>
      <c r="L2" s="112" t="s">
        <v>345</v>
      </c>
      <c r="M2" s="112" t="s">
        <v>346</v>
      </c>
      <c r="N2" s="112" t="s">
        <v>347</v>
      </c>
      <c r="O2" s="108" t="s">
        <v>348</v>
      </c>
      <c r="P2" s="421" t="s">
        <v>349</v>
      </c>
      <c r="Q2" s="421" t="s">
        <v>350</v>
      </c>
    </row>
    <row r="3" spans="1:17" x14ac:dyDescent="0.2">
      <c r="B3" t="s">
        <v>351</v>
      </c>
      <c r="C3">
        <v>1998</v>
      </c>
      <c r="D3">
        <v>2016</v>
      </c>
      <c r="E3">
        <v>1984</v>
      </c>
      <c r="F3">
        <v>2010</v>
      </c>
      <c r="G3">
        <v>2067</v>
      </c>
      <c r="H3">
        <v>2078</v>
      </c>
      <c r="I3">
        <v>2078</v>
      </c>
      <c r="J3">
        <v>2085</v>
      </c>
      <c r="K3">
        <v>2134</v>
      </c>
      <c r="L3">
        <v>2136</v>
      </c>
      <c r="M3">
        <v>2135</v>
      </c>
      <c r="N3">
        <v>2143</v>
      </c>
      <c r="O3">
        <f>SUM(C3:N3)/12</f>
        <v>2072</v>
      </c>
    </row>
    <row r="4" spans="1:17" x14ac:dyDescent="0.2">
      <c r="B4" t="s">
        <v>352</v>
      </c>
      <c r="C4">
        <v>2155</v>
      </c>
      <c r="D4">
        <v>2157</v>
      </c>
      <c r="E4">
        <v>2172</v>
      </c>
      <c r="F4">
        <v>2180</v>
      </c>
      <c r="G4">
        <v>2183</v>
      </c>
      <c r="H4">
        <v>2205</v>
      </c>
      <c r="I4">
        <v>2192</v>
      </c>
      <c r="J4">
        <v>2191</v>
      </c>
      <c r="K4">
        <v>2183</v>
      </c>
      <c r="L4">
        <v>2183</v>
      </c>
      <c r="M4">
        <v>2191</v>
      </c>
      <c r="N4">
        <v>2189</v>
      </c>
      <c r="O4" s="107">
        <f t="shared" ref="O4:O20" si="0">SUM(C4:N4)/12</f>
        <v>2181.75</v>
      </c>
      <c r="P4" s="107">
        <f t="shared" ref="P4:P18" si="1">SUM(O4-O3)</f>
        <v>109.75</v>
      </c>
      <c r="Q4" s="111">
        <f>SUM(P4/O3)</f>
        <v>5.2968146718146716E-2</v>
      </c>
    </row>
    <row r="5" spans="1:17" x14ac:dyDescent="0.2">
      <c r="B5" t="s">
        <v>353</v>
      </c>
      <c r="C5">
        <v>2201</v>
      </c>
      <c r="D5">
        <v>2233</v>
      </c>
      <c r="E5">
        <v>2235</v>
      </c>
      <c r="F5">
        <v>2252</v>
      </c>
      <c r="G5">
        <v>2259</v>
      </c>
      <c r="H5">
        <v>2271</v>
      </c>
      <c r="I5">
        <v>2271</v>
      </c>
      <c r="J5">
        <v>2307</v>
      </c>
      <c r="K5">
        <v>2319</v>
      </c>
      <c r="L5">
        <v>2331</v>
      </c>
      <c r="M5">
        <v>2343</v>
      </c>
      <c r="N5">
        <v>2355</v>
      </c>
      <c r="O5" s="107">
        <f t="shared" si="0"/>
        <v>2281.4166666666665</v>
      </c>
      <c r="P5" s="107">
        <f t="shared" si="1"/>
        <v>99.666666666666515</v>
      </c>
      <c r="Q5" s="111">
        <f t="shared" ref="Q5:Q10" si="2">SUM(P5/O4)</f>
        <v>4.5681983117527906E-2</v>
      </c>
    </row>
    <row r="6" spans="1:17" x14ac:dyDescent="0.2">
      <c r="B6" t="s">
        <v>230</v>
      </c>
      <c r="C6">
        <v>2324</v>
      </c>
      <c r="D6">
        <v>2433</v>
      </c>
      <c r="E6">
        <v>2266</v>
      </c>
      <c r="F6">
        <v>2266</v>
      </c>
      <c r="G6">
        <v>2306</v>
      </c>
      <c r="H6">
        <v>2306</v>
      </c>
      <c r="I6">
        <v>2306</v>
      </c>
      <c r="J6">
        <v>2334</v>
      </c>
      <c r="K6">
        <v>2230</v>
      </c>
      <c r="L6">
        <v>2230</v>
      </c>
      <c r="M6">
        <v>2230</v>
      </c>
      <c r="N6">
        <v>2230</v>
      </c>
      <c r="O6" s="107">
        <f t="shared" si="0"/>
        <v>2288.4166666666665</v>
      </c>
      <c r="P6" s="107">
        <f t="shared" si="1"/>
        <v>7</v>
      </c>
      <c r="Q6" s="111">
        <f t="shared" si="2"/>
        <v>3.0682689849143444E-3</v>
      </c>
    </row>
    <row r="7" spans="1:17" x14ac:dyDescent="0.2">
      <c r="B7" t="s">
        <v>229</v>
      </c>
      <c r="C7">
        <v>2408</v>
      </c>
      <c r="D7">
        <v>2335</v>
      </c>
      <c r="E7">
        <v>2353</v>
      </c>
      <c r="F7">
        <v>2353</v>
      </c>
      <c r="G7">
        <v>2311</v>
      </c>
      <c r="H7">
        <v>2367</v>
      </c>
      <c r="I7">
        <v>2367</v>
      </c>
      <c r="J7">
        <v>2352</v>
      </c>
      <c r="K7">
        <v>2336</v>
      </c>
      <c r="L7">
        <v>2336</v>
      </c>
      <c r="M7">
        <v>2292</v>
      </c>
      <c r="N7">
        <v>2318</v>
      </c>
      <c r="O7" s="107">
        <f t="shared" si="0"/>
        <v>2344</v>
      </c>
      <c r="P7" s="107">
        <f t="shared" si="1"/>
        <v>55.583333333333485</v>
      </c>
      <c r="Q7" s="111">
        <f t="shared" si="2"/>
        <v>2.4288991660900983E-2</v>
      </c>
    </row>
    <row r="8" spans="1:17" x14ac:dyDescent="0.2">
      <c r="B8" t="s">
        <v>234</v>
      </c>
      <c r="C8">
        <v>2312</v>
      </c>
      <c r="D8">
        <v>2305</v>
      </c>
      <c r="E8">
        <v>2318</v>
      </c>
      <c r="F8">
        <v>2318</v>
      </c>
      <c r="G8">
        <v>2350</v>
      </c>
      <c r="H8">
        <v>2314</v>
      </c>
      <c r="I8">
        <v>2314</v>
      </c>
      <c r="J8">
        <v>2426</v>
      </c>
      <c r="K8">
        <v>2400</v>
      </c>
      <c r="L8">
        <v>2454</v>
      </c>
      <c r="M8">
        <v>2536</v>
      </c>
      <c r="N8">
        <v>2334</v>
      </c>
      <c r="O8" s="107">
        <f t="shared" si="0"/>
        <v>2365.0833333333335</v>
      </c>
      <c r="P8" s="107">
        <f t="shared" si="1"/>
        <v>21.083333333333485</v>
      </c>
      <c r="Q8" s="111">
        <f t="shared" si="2"/>
        <v>8.9945961319682095E-3</v>
      </c>
    </row>
    <row r="9" spans="1:17" x14ac:dyDescent="0.2">
      <c r="B9" t="s">
        <v>238</v>
      </c>
      <c r="C9">
        <v>2357</v>
      </c>
      <c r="D9">
        <v>2384</v>
      </c>
      <c r="E9">
        <v>2387</v>
      </c>
      <c r="F9">
        <v>2410</v>
      </c>
      <c r="G9">
        <v>2414</v>
      </c>
      <c r="H9">
        <v>2444</v>
      </c>
      <c r="I9">
        <v>2444</v>
      </c>
      <c r="J9">
        <v>2433</v>
      </c>
      <c r="K9">
        <v>2417</v>
      </c>
      <c r="L9">
        <v>2424</v>
      </c>
      <c r="M9">
        <v>2443</v>
      </c>
      <c r="N9">
        <v>2445</v>
      </c>
      <c r="O9" s="107">
        <f t="shared" si="0"/>
        <v>2416.8333333333335</v>
      </c>
      <c r="P9" s="107">
        <f t="shared" si="1"/>
        <v>51.75</v>
      </c>
      <c r="Q9" s="111">
        <f t="shared" si="2"/>
        <v>2.1880835770409779E-2</v>
      </c>
    </row>
    <row r="10" spans="1:17" x14ac:dyDescent="0.2">
      <c r="B10" t="s">
        <v>239</v>
      </c>
      <c r="C10">
        <v>2453</v>
      </c>
      <c r="D10">
        <v>2437</v>
      </c>
      <c r="E10">
        <v>2420</v>
      </c>
      <c r="F10">
        <v>2487</v>
      </c>
      <c r="G10">
        <v>2437</v>
      </c>
      <c r="H10">
        <v>2479</v>
      </c>
      <c r="I10">
        <v>2466</v>
      </c>
      <c r="J10">
        <v>2488</v>
      </c>
      <c r="K10">
        <v>2477</v>
      </c>
      <c r="L10">
        <v>2562</v>
      </c>
      <c r="M10">
        <v>2557</v>
      </c>
      <c r="N10">
        <v>2455</v>
      </c>
      <c r="O10" s="107">
        <f t="shared" si="0"/>
        <v>2476.5</v>
      </c>
      <c r="P10" s="107">
        <f t="shared" si="1"/>
        <v>59.666666666666515</v>
      </c>
      <c r="Q10" s="111">
        <f t="shared" si="2"/>
        <v>2.4687952554996142E-2</v>
      </c>
    </row>
    <row r="11" spans="1:17" x14ac:dyDescent="0.2">
      <c r="B11" t="s">
        <v>240</v>
      </c>
      <c r="C11">
        <v>2495</v>
      </c>
      <c r="D11">
        <v>2542</v>
      </c>
      <c r="E11">
        <v>2644</v>
      </c>
      <c r="F11">
        <v>2580</v>
      </c>
      <c r="G11">
        <v>2273</v>
      </c>
      <c r="H11">
        <v>2302</v>
      </c>
      <c r="I11">
        <v>2395</v>
      </c>
      <c r="J11">
        <v>2404</v>
      </c>
      <c r="K11">
        <v>2394</v>
      </c>
      <c r="L11">
        <v>2426</v>
      </c>
      <c r="M11">
        <v>2689</v>
      </c>
      <c r="N11">
        <v>2739</v>
      </c>
      <c r="O11" s="107">
        <f t="shared" si="0"/>
        <v>2490.25</v>
      </c>
      <c r="P11" s="107">
        <f t="shared" si="1"/>
        <v>13.75</v>
      </c>
      <c r="Q11" s="111">
        <f t="shared" ref="Q11:Q22" si="3">SUM(P11/O10)</f>
        <v>5.5521905915606705E-3</v>
      </c>
    </row>
    <row r="12" spans="1:17" x14ac:dyDescent="0.2">
      <c r="B12" t="s">
        <v>241</v>
      </c>
      <c r="C12">
        <v>2704</v>
      </c>
      <c r="D12">
        <v>2698</v>
      </c>
      <c r="E12">
        <v>2694</v>
      </c>
      <c r="F12">
        <v>2677</v>
      </c>
      <c r="G12">
        <v>2732</v>
      </c>
      <c r="H12">
        <v>2755</v>
      </c>
      <c r="I12">
        <v>2778</v>
      </c>
      <c r="J12">
        <v>2778</v>
      </c>
      <c r="K12">
        <v>2775</v>
      </c>
      <c r="L12">
        <v>2782</v>
      </c>
      <c r="M12">
        <v>2819</v>
      </c>
      <c r="N12">
        <v>2864</v>
      </c>
      <c r="O12" s="107">
        <f t="shared" si="0"/>
        <v>2754.6666666666665</v>
      </c>
      <c r="P12" s="107">
        <f t="shared" si="1"/>
        <v>264.41666666666652</v>
      </c>
      <c r="Q12" s="111">
        <f t="shared" si="3"/>
        <v>0.10618077167620379</v>
      </c>
    </row>
    <row r="13" spans="1:17" x14ac:dyDescent="0.2">
      <c r="B13" t="s">
        <v>266</v>
      </c>
      <c r="C13">
        <v>2871</v>
      </c>
      <c r="D13">
        <v>2904</v>
      </c>
      <c r="E13">
        <v>2884</v>
      </c>
      <c r="F13">
        <v>2895</v>
      </c>
      <c r="G13">
        <v>2826</v>
      </c>
      <c r="H13">
        <v>2865</v>
      </c>
      <c r="I13">
        <v>2853</v>
      </c>
      <c r="J13">
        <v>2903</v>
      </c>
      <c r="K13">
        <v>2885</v>
      </c>
      <c r="L13">
        <v>2910</v>
      </c>
      <c r="M13">
        <v>2930</v>
      </c>
      <c r="N13">
        <v>2884</v>
      </c>
      <c r="O13" s="107">
        <f t="shared" si="0"/>
        <v>2884.1666666666665</v>
      </c>
      <c r="P13" s="107">
        <f t="shared" si="1"/>
        <v>129.5</v>
      </c>
      <c r="Q13" s="111">
        <f t="shared" si="3"/>
        <v>4.7011132623426911E-2</v>
      </c>
    </row>
    <row r="14" spans="1:17" x14ac:dyDescent="0.2">
      <c r="B14" t="s">
        <v>285</v>
      </c>
      <c r="C14">
        <v>2896</v>
      </c>
      <c r="D14">
        <v>2980</v>
      </c>
      <c r="E14">
        <v>2969</v>
      </c>
      <c r="F14">
        <v>2961</v>
      </c>
      <c r="G14">
        <v>3022</v>
      </c>
      <c r="H14">
        <v>3037</v>
      </c>
      <c r="I14">
        <v>3049</v>
      </c>
      <c r="J14">
        <v>3076</v>
      </c>
      <c r="K14">
        <v>3088</v>
      </c>
      <c r="L14">
        <v>3074</v>
      </c>
      <c r="M14">
        <v>3058</v>
      </c>
      <c r="N14">
        <v>2954</v>
      </c>
      <c r="O14" s="107">
        <f t="shared" si="0"/>
        <v>3013.6666666666665</v>
      </c>
      <c r="P14" s="107">
        <f t="shared" si="1"/>
        <v>129.5</v>
      </c>
      <c r="Q14" s="111">
        <f t="shared" si="3"/>
        <v>4.4900317827217567E-2</v>
      </c>
    </row>
    <row r="15" spans="1:17" x14ac:dyDescent="0.2">
      <c r="B15" t="s">
        <v>354</v>
      </c>
      <c r="C15">
        <v>3027</v>
      </c>
      <c r="D15">
        <v>3039</v>
      </c>
      <c r="E15">
        <v>3034</v>
      </c>
      <c r="F15">
        <v>3040</v>
      </c>
      <c r="G15">
        <v>3022</v>
      </c>
      <c r="H15">
        <v>3057</v>
      </c>
      <c r="I15">
        <v>3074</v>
      </c>
      <c r="J15">
        <v>3088</v>
      </c>
      <c r="K15">
        <v>3056</v>
      </c>
      <c r="L15">
        <v>3094</v>
      </c>
      <c r="M15">
        <v>3138</v>
      </c>
      <c r="N15">
        <v>3130</v>
      </c>
      <c r="O15" s="107">
        <f t="shared" si="0"/>
        <v>3066.5833333333335</v>
      </c>
      <c r="P15" s="107">
        <f t="shared" si="1"/>
        <v>52.91666666666697</v>
      </c>
      <c r="Q15" s="111">
        <f t="shared" si="3"/>
        <v>1.7558898351952318E-2</v>
      </c>
    </row>
    <row r="16" spans="1:17" x14ac:dyDescent="0.2">
      <c r="B16" t="s">
        <v>381</v>
      </c>
      <c r="C16">
        <v>3123</v>
      </c>
      <c r="D16">
        <v>3065</v>
      </c>
      <c r="E16">
        <v>3115</v>
      </c>
      <c r="F16">
        <v>3134</v>
      </c>
      <c r="G16">
        <v>3160</v>
      </c>
      <c r="H16">
        <v>3165</v>
      </c>
      <c r="I16">
        <v>3166</v>
      </c>
      <c r="J16">
        <v>3187</v>
      </c>
      <c r="K16">
        <v>3069</v>
      </c>
      <c r="L16">
        <v>3020</v>
      </c>
      <c r="M16">
        <v>3040</v>
      </c>
      <c r="N16">
        <v>3070</v>
      </c>
      <c r="O16" s="107">
        <f t="shared" si="0"/>
        <v>3109.5</v>
      </c>
      <c r="P16" s="107">
        <f t="shared" si="1"/>
        <v>42.916666666666515</v>
      </c>
      <c r="Q16" s="111">
        <f t="shared" si="3"/>
        <v>1.3994945514823722E-2</v>
      </c>
    </row>
    <row r="17" spans="1:17" x14ac:dyDescent="0.2">
      <c r="B17" t="s">
        <v>435</v>
      </c>
      <c r="C17">
        <v>3068</v>
      </c>
      <c r="D17">
        <v>3065</v>
      </c>
      <c r="E17">
        <v>3103</v>
      </c>
      <c r="F17">
        <v>3034</v>
      </c>
      <c r="G17">
        <v>3036</v>
      </c>
      <c r="H17">
        <v>3045</v>
      </c>
      <c r="I17">
        <v>3049</v>
      </c>
      <c r="J17">
        <v>3041</v>
      </c>
      <c r="K17">
        <v>2986</v>
      </c>
      <c r="L17">
        <v>2936</v>
      </c>
      <c r="M17">
        <v>2897</v>
      </c>
      <c r="N17">
        <v>2906</v>
      </c>
      <c r="O17" s="107">
        <f t="shared" si="0"/>
        <v>3013.8333333333335</v>
      </c>
      <c r="P17" s="107">
        <f t="shared" si="1"/>
        <v>-95.666666666666515</v>
      </c>
      <c r="Q17" s="111">
        <f t="shared" si="3"/>
        <v>-3.0765932357828114E-2</v>
      </c>
    </row>
    <row r="18" spans="1:17" x14ac:dyDescent="0.2">
      <c r="B18" t="s">
        <v>451</v>
      </c>
      <c r="C18">
        <v>2911</v>
      </c>
      <c r="D18">
        <v>2880</v>
      </c>
      <c r="E18">
        <v>2853</v>
      </c>
      <c r="F18">
        <v>2835</v>
      </c>
      <c r="G18">
        <v>2828</v>
      </c>
      <c r="H18">
        <v>2758</v>
      </c>
      <c r="I18">
        <v>2810</v>
      </c>
      <c r="J18">
        <v>2815</v>
      </c>
      <c r="K18">
        <v>2770</v>
      </c>
      <c r="L18">
        <v>2722</v>
      </c>
      <c r="M18">
        <v>2761</v>
      </c>
      <c r="N18">
        <v>2747</v>
      </c>
      <c r="O18" s="107">
        <f t="shared" si="0"/>
        <v>2807.5</v>
      </c>
      <c r="P18" s="107">
        <f t="shared" si="1"/>
        <v>-206.33333333333348</v>
      </c>
      <c r="Q18" s="111">
        <f t="shared" si="3"/>
        <v>-6.846209146712387E-2</v>
      </c>
    </row>
    <row r="19" spans="1:17" x14ac:dyDescent="0.2">
      <c r="B19" t="s">
        <v>452</v>
      </c>
      <c r="C19">
        <v>2607</v>
      </c>
      <c r="D19">
        <v>2654</v>
      </c>
      <c r="E19">
        <v>2602</v>
      </c>
      <c r="F19">
        <v>2660</v>
      </c>
      <c r="G19">
        <v>2612</v>
      </c>
      <c r="H19">
        <v>2542</v>
      </c>
      <c r="I19">
        <v>2515</v>
      </c>
      <c r="J19">
        <v>2539</v>
      </c>
      <c r="K19">
        <v>2614</v>
      </c>
      <c r="L19">
        <v>2633</v>
      </c>
      <c r="M19">
        <v>2586</v>
      </c>
      <c r="N19">
        <v>2590</v>
      </c>
      <c r="O19" s="107">
        <f t="shared" si="0"/>
        <v>2596.1666666666665</v>
      </c>
      <c r="P19" s="107">
        <f>SUM(O19-O18)</f>
        <v>-211.33333333333348</v>
      </c>
      <c r="Q19" s="111">
        <f t="shared" si="3"/>
        <v>-7.5274562184624569E-2</v>
      </c>
    </row>
    <row r="20" spans="1:17" x14ac:dyDescent="0.2">
      <c r="B20" t="s">
        <v>674</v>
      </c>
      <c r="C20">
        <v>2481</v>
      </c>
      <c r="D20">
        <v>2502</v>
      </c>
      <c r="E20">
        <v>2560</v>
      </c>
      <c r="F20">
        <v>2577</v>
      </c>
      <c r="G20">
        <v>2485</v>
      </c>
      <c r="H20">
        <v>2505</v>
      </c>
      <c r="I20">
        <v>2521</v>
      </c>
      <c r="J20">
        <v>2517</v>
      </c>
      <c r="K20">
        <v>2505</v>
      </c>
      <c r="L20">
        <v>2411</v>
      </c>
      <c r="M20">
        <v>2387</v>
      </c>
      <c r="N20">
        <v>2391</v>
      </c>
      <c r="O20" s="107">
        <f t="shared" si="0"/>
        <v>2486.8333333333335</v>
      </c>
      <c r="P20" s="107">
        <f>SUM(O20-O19)</f>
        <v>-109.33333333333303</v>
      </c>
      <c r="Q20" s="111">
        <f t="shared" si="3"/>
        <v>-4.2113372279642951E-2</v>
      </c>
    </row>
    <row r="21" spans="1:17" x14ac:dyDescent="0.2">
      <c r="B21" t="s">
        <v>675</v>
      </c>
      <c r="C21">
        <v>2371</v>
      </c>
      <c r="D21">
        <v>2284</v>
      </c>
      <c r="E21">
        <v>2184</v>
      </c>
      <c r="F21">
        <v>2132</v>
      </c>
      <c r="G21">
        <v>2074</v>
      </c>
      <c r="H21">
        <v>2090</v>
      </c>
      <c r="I21">
        <v>2073</v>
      </c>
      <c r="J21">
        <v>2027</v>
      </c>
      <c r="K21">
        <v>2025</v>
      </c>
      <c r="L21">
        <v>1974</v>
      </c>
      <c r="M21">
        <v>1935</v>
      </c>
      <c r="N21">
        <v>1936</v>
      </c>
      <c r="O21" s="107">
        <f>SUM(C21:N21)/12</f>
        <v>2092.0833333333335</v>
      </c>
      <c r="P21" s="107">
        <f>SUM(O21-O20)</f>
        <v>-394.75</v>
      </c>
      <c r="Q21" s="111">
        <f t="shared" si="3"/>
        <v>-0.15873600965082768</v>
      </c>
    </row>
    <row r="22" spans="1:17" x14ac:dyDescent="0.2">
      <c r="B22" t="s">
        <v>729</v>
      </c>
      <c r="C22">
        <v>1870</v>
      </c>
      <c r="D22">
        <v>1789</v>
      </c>
      <c r="E22">
        <v>1774</v>
      </c>
      <c r="F22">
        <v>1739</v>
      </c>
      <c r="G22">
        <v>1747</v>
      </c>
      <c r="H22">
        <v>1704</v>
      </c>
      <c r="I22">
        <v>1643</v>
      </c>
      <c r="J22">
        <v>1625</v>
      </c>
      <c r="K22">
        <v>1706</v>
      </c>
      <c r="L22">
        <v>1664</v>
      </c>
      <c r="M22">
        <v>1611</v>
      </c>
      <c r="N22">
        <v>1656</v>
      </c>
      <c r="O22" s="107">
        <f>SUM(C22:N22)/12</f>
        <v>1710.6666666666667</v>
      </c>
      <c r="P22" s="107">
        <f>SUM(O22-O21)</f>
        <v>-381.41666666666674</v>
      </c>
      <c r="Q22" s="111">
        <f t="shared" si="3"/>
        <v>-0.18231428002389966</v>
      </c>
    </row>
    <row r="23" spans="1:17" x14ac:dyDescent="0.2">
      <c r="B23" s="525" t="s">
        <v>775</v>
      </c>
      <c r="C23">
        <v>1643</v>
      </c>
      <c r="D23">
        <v>1635</v>
      </c>
      <c r="E23">
        <v>1633</v>
      </c>
      <c r="F23">
        <v>1662</v>
      </c>
      <c r="G23">
        <v>1658</v>
      </c>
      <c r="H23">
        <v>1677</v>
      </c>
      <c r="I23">
        <v>1673</v>
      </c>
      <c r="J23">
        <v>1679</v>
      </c>
      <c r="K23">
        <v>1673</v>
      </c>
      <c r="L23">
        <v>1666</v>
      </c>
      <c r="M23">
        <v>1695</v>
      </c>
      <c r="N23">
        <v>1701</v>
      </c>
      <c r="O23" s="107">
        <f>SUM(C23:N23)/12</f>
        <v>1666.25</v>
      </c>
      <c r="P23" s="107">
        <f>SUM(O23-O22)</f>
        <v>-44.416666666666742</v>
      </c>
      <c r="Q23" s="111">
        <f>SUM(P23/O22)</f>
        <v>-2.5964536243180091E-2</v>
      </c>
    </row>
    <row r="24" spans="1:17" x14ac:dyDescent="0.2">
      <c r="B24" s="525" t="s">
        <v>800</v>
      </c>
      <c r="C24">
        <v>1690</v>
      </c>
      <c r="O24" s="107"/>
      <c r="P24" s="107"/>
      <c r="Q24" s="111"/>
    </row>
    <row r="25" spans="1:17" ht="25.5" x14ac:dyDescent="0.2">
      <c r="A25" s="109" t="s">
        <v>355</v>
      </c>
      <c r="B25" s="110" t="s">
        <v>335</v>
      </c>
      <c r="C25" s="112" t="s">
        <v>336</v>
      </c>
      <c r="D25" s="112" t="s">
        <v>337</v>
      </c>
      <c r="E25" s="112" t="s">
        <v>338</v>
      </c>
      <c r="F25" s="112" t="s">
        <v>339</v>
      </c>
      <c r="G25" s="112" t="s">
        <v>340</v>
      </c>
      <c r="H25" s="112" t="s">
        <v>341</v>
      </c>
      <c r="I25" s="112" t="s">
        <v>342</v>
      </c>
      <c r="J25" s="112" t="s">
        <v>343</v>
      </c>
      <c r="K25" s="112" t="s">
        <v>344</v>
      </c>
      <c r="L25" s="112" t="s">
        <v>345</v>
      </c>
      <c r="M25" s="112" t="s">
        <v>346</v>
      </c>
      <c r="N25" s="112" t="s">
        <v>347</v>
      </c>
    </row>
    <row r="26" spans="1:17" x14ac:dyDescent="0.2">
      <c r="B26" t="s">
        <v>351</v>
      </c>
      <c r="C26">
        <v>83</v>
      </c>
      <c r="D26">
        <v>80</v>
      </c>
      <c r="E26">
        <v>74</v>
      </c>
      <c r="F26">
        <v>78</v>
      </c>
      <c r="G26">
        <v>79</v>
      </c>
      <c r="H26">
        <v>81</v>
      </c>
      <c r="I26">
        <v>82</v>
      </c>
      <c r="J26">
        <v>83</v>
      </c>
      <c r="K26">
        <v>82</v>
      </c>
      <c r="L26">
        <v>83</v>
      </c>
      <c r="M26">
        <v>85</v>
      </c>
      <c r="N26">
        <v>87</v>
      </c>
      <c r="O26" s="107">
        <f t="shared" ref="O26:O34" si="4">SUM(C26:N26)/12</f>
        <v>81.416666666666671</v>
      </c>
      <c r="P26" s="107"/>
    </row>
    <row r="27" spans="1:17" x14ac:dyDescent="0.2">
      <c r="B27" t="s">
        <v>352</v>
      </c>
      <c r="C27">
        <v>92</v>
      </c>
      <c r="D27">
        <v>93</v>
      </c>
      <c r="E27">
        <v>94</v>
      </c>
      <c r="F27">
        <v>97</v>
      </c>
      <c r="G27">
        <v>98</v>
      </c>
      <c r="H27">
        <v>95</v>
      </c>
      <c r="I27">
        <v>89</v>
      </c>
      <c r="J27">
        <v>93</v>
      </c>
      <c r="K27">
        <v>90</v>
      </c>
      <c r="L27">
        <v>97</v>
      </c>
      <c r="M27">
        <v>99</v>
      </c>
      <c r="N27">
        <v>92</v>
      </c>
      <c r="O27" s="107">
        <f t="shared" si="4"/>
        <v>94.083333333333329</v>
      </c>
      <c r="P27" s="107">
        <f t="shared" ref="P27:P34" si="5">SUM(O27-O26)</f>
        <v>12.666666666666657</v>
      </c>
      <c r="Q27" s="111">
        <f t="shared" ref="Q27:Q33" si="6">SUM(P27/O26)</f>
        <v>0.15557830092118718</v>
      </c>
    </row>
    <row r="28" spans="1:17" x14ac:dyDescent="0.2">
      <c r="B28" t="s">
        <v>353</v>
      </c>
      <c r="C28">
        <v>90</v>
      </c>
      <c r="D28">
        <v>91</v>
      </c>
      <c r="E28">
        <v>92</v>
      </c>
      <c r="F28">
        <v>100</v>
      </c>
      <c r="G28">
        <v>99</v>
      </c>
      <c r="H28">
        <v>111</v>
      </c>
      <c r="I28">
        <v>102</v>
      </c>
      <c r="J28">
        <v>94</v>
      </c>
      <c r="K28">
        <v>96</v>
      </c>
      <c r="L28">
        <v>98</v>
      </c>
      <c r="M28">
        <v>93</v>
      </c>
      <c r="N28">
        <v>89</v>
      </c>
      <c r="O28" s="107">
        <f t="shared" si="4"/>
        <v>96.25</v>
      </c>
      <c r="P28" s="107">
        <f t="shared" si="5"/>
        <v>2.1666666666666714</v>
      </c>
      <c r="Q28" s="111">
        <f t="shared" si="6"/>
        <v>2.3029229406554524E-2</v>
      </c>
    </row>
    <row r="29" spans="1:17" x14ac:dyDescent="0.2">
      <c r="B29" t="s">
        <v>230</v>
      </c>
      <c r="C29">
        <v>72</v>
      </c>
      <c r="D29">
        <v>74</v>
      </c>
      <c r="E29">
        <v>73</v>
      </c>
      <c r="F29">
        <v>73</v>
      </c>
      <c r="G29">
        <v>73</v>
      </c>
      <c r="H29">
        <v>73</v>
      </c>
      <c r="I29">
        <v>73</v>
      </c>
      <c r="J29">
        <v>65</v>
      </c>
      <c r="K29">
        <v>65</v>
      </c>
      <c r="L29">
        <v>65</v>
      </c>
      <c r="M29">
        <v>65</v>
      </c>
      <c r="N29">
        <v>60</v>
      </c>
      <c r="O29" s="107">
        <f t="shared" si="4"/>
        <v>69.25</v>
      </c>
      <c r="P29" s="107">
        <f t="shared" si="5"/>
        <v>-27</v>
      </c>
      <c r="Q29" s="111">
        <f t="shared" si="6"/>
        <v>-0.2805194805194805</v>
      </c>
    </row>
    <row r="30" spans="1:17" x14ac:dyDescent="0.2">
      <c r="B30" t="s">
        <v>229</v>
      </c>
      <c r="C30">
        <v>59</v>
      </c>
      <c r="D30">
        <v>58</v>
      </c>
      <c r="E30">
        <v>59</v>
      </c>
      <c r="F30">
        <v>60</v>
      </c>
      <c r="G30">
        <v>56</v>
      </c>
      <c r="H30">
        <v>54</v>
      </c>
      <c r="I30">
        <v>54</v>
      </c>
      <c r="J30">
        <v>51</v>
      </c>
      <c r="K30">
        <v>53</v>
      </c>
      <c r="L30">
        <v>59</v>
      </c>
      <c r="M30">
        <v>64</v>
      </c>
      <c r="N30">
        <v>62</v>
      </c>
      <c r="O30" s="107">
        <f t="shared" si="4"/>
        <v>57.416666666666664</v>
      </c>
      <c r="P30" s="107">
        <f t="shared" si="5"/>
        <v>-11.833333333333336</v>
      </c>
      <c r="Q30" s="111">
        <f t="shared" si="6"/>
        <v>-0.17087845968712398</v>
      </c>
    </row>
    <row r="31" spans="1:17" x14ac:dyDescent="0.2">
      <c r="B31" t="s">
        <v>234</v>
      </c>
      <c r="C31">
        <v>66</v>
      </c>
      <c r="D31">
        <v>68</v>
      </c>
      <c r="E31">
        <v>66</v>
      </c>
      <c r="F31">
        <v>65</v>
      </c>
      <c r="G31">
        <v>63</v>
      </c>
      <c r="H31">
        <v>68</v>
      </c>
      <c r="I31">
        <v>63</v>
      </c>
      <c r="J31">
        <v>57</v>
      </c>
      <c r="K31">
        <v>45</v>
      </c>
      <c r="L31">
        <v>45</v>
      </c>
      <c r="M31">
        <v>47</v>
      </c>
      <c r="N31">
        <v>49</v>
      </c>
      <c r="O31" s="107">
        <f t="shared" si="4"/>
        <v>58.5</v>
      </c>
      <c r="P31" s="107">
        <f t="shared" si="5"/>
        <v>1.0833333333333357</v>
      </c>
      <c r="Q31" s="111">
        <f t="shared" si="6"/>
        <v>1.8867924528301928E-2</v>
      </c>
    </row>
    <row r="32" spans="1:17" x14ac:dyDescent="0.2">
      <c r="B32" t="s">
        <v>238</v>
      </c>
      <c r="C32">
        <v>47</v>
      </c>
      <c r="D32">
        <v>45</v>
      </c>
      <c r="E32">
        <v>45</v>
      </c>
      <c r="F32">
        <v>47</v>
      </c>
      <c r="G32">
        <v>47</v>
      </c>
      <c r="H32">
        <v>42</v>
      </c>
      <c r="I32">
        <v>40</v>
      </c>
      <c r="J32">
        <v>42</v>
      </c>
      <c r="K32">
        <v>47</v>
      </c>
      <c r="L32">
        <v>46</v>
      </c>
      <c r="M32">
        <v>41</v>
      </c>
      <c r="N32">
        <v>39</v>
      </c>
      <c r="O32" s="107">
        <f t="shared" si="4"/>
        <v>44</v>
      </c>
      <c r="P32" s="107">
        <f t="shared" si="5"/>
        <v>-14.5</v>
      </c>
      <c r="Q32" s="111">
        <f t="shared" si="6"/>
        <v>-0.24786324786324787</v>
      </c>
    </row>
    <row r="33" spans="1:18" x14ac:dyDescent="0.2">
      <c r="B33" t="s">
        <v>239</v>
      </c>
      <c r="C33">
        <v>40</v>
      </c>
      <c r="D33">
        <v>40</v>
      </c>
      <c r="E33">
        <v>40</v>
      </c>
      <c r="F33">
        <v>43</v>
      </c>
      <c r="G33">
        <v>37</v>
      </c>
      <c r="H33">
        <v>38</v>
      </c>
      <c r="I33">
        <v>37</v>
      </c>
      <c r="J33">
        <v>39</v>
      </c>
      <c r="K33">
        <v>41</v>
      </c>
      <c r="L33">
        <v>51</v>
      </c>
      <c r="M33">
        <v>50</v>
      </c>
      <c r="N33">
        <v>37</v>
      </c>
      <c r="O33" s="107">
        <f t="shared" si="4"/>
        <v>41.083333333333336</v>
      </c>
      <c r="P33" s="107">
        <f t="shared" si="5"/>
        <v>-2.9166666666666643</v>
      </c>
      <c r="Q33" s="111">
        <f t="shared" si="6"/>
        <v>-6.6287878787878729E-2</v>
      </c>
    </row>
    <row r="34" spans="1:18" x14ac:dyDescent="0.2">
      <c r="B34" t="s">
        <v>240</v>
      </c>
      <c r="C34">
        <v>39</v>
      </c>
      <c r="D34">
        <v>39</v>
      </c>
      <c r="E34">
        <v>44</v>
      </c>
      <c r="F34">
        <v>39</v>
      </c>
      <c r="G34">
        <v>42</v>
      </c>
      <c r="H34">
        <v>41</v>
      </c>
      <c r="I34">
        <v>40</v>
      </c>
      <c r="J34">
        <v>37</v>
      </c>
      <c r="K34">
        <v>36</v>
      </c>
      <c r="L34">
        <v>36</v>
      </c>
      <c r="M34">
        <v>40</v>
      </c>
      <c r="N34">
        <v>41</v>
      </c>
      <c r="O34" s="107">
        <f t="shared" si="4"/>
        <v>39.5</v>
      </c>
      <c r="P34" s="107">
        <f t="shared" si="5"/>
        <v>-1.5833333333333357</v>
      </c>
      <c r="Q34" s="111">
        <f t="shared" ref="Q34:Q46" si="7">SUM(P34/O33)</f>
        <v>-3.8539553752535552E-2</v>
      </c>
    </row>
    <row r="35" spans="1:18" x14ac:dyDescent="0.2">
      <c r="B35" t="s">
        <v>241</v>
      </c>
      <c r="C35">
        <v>32</v>
      </c>
      <c r="D35">
        <v>34</v>
      </c>
      <c r="E35">
        <v>31</v>
      </c>
      <c r="F35">
        <v>32</v>
      </c>
      <c r="G35">
        <v>33</v>
      </c>
      <c r="H35">
        <v>31</v>
      </c>
      <c r="I35">
        <v>31</v>
      </c>
      <c r="J35">
        <v>31</v>
      </c>
      <c r="K35">
        <v>34</v>
      </c>
      <c r="L35">
        <v>36</v>
      </c>
      <c r="M35">
        <v>40</v>
      </c>
      <c r="N35">
        <v>39</v>
      </c>
      <c r="O35" s="107">
        <f>SUM(C35:N35)/12</f>
        <v>33.666666666666664</v>
      </c>
      <c r="P35" s="107">
        <f t="shared" ref="P35:P46" si="8">SUM(O35-O34)</f>
        <v>-5.8333333333333357</v>
      </c>
      <c r="Q35" s="111">
        <f t="shared" si="7"/>
        <v>-0.14767932489451482</v>
      </c>
    </row>
    <row r="36" spans="1:18" x14ac:dyDescent="0.2">
      <c r="B36" t="s">
        <v>266</v>
      </c>
      <c r="C36">
        <v>43</v>
      </c>
      <c r="D36">
        <v>43</v>
      </c>
      <c r="E36">
        <v>41</v>
      </c>
      <c r="F36">
        <v>0</v>
      </c>
      <c r="G36">
        <v>0</v>
      </c>
      <c r="H36">
        <v>0</v>
      </c>
      <c r="I36">
        <v>35</v>
      </c>
      <c r="J36">
        <v>35</v>
      </c>
      <c r="K36">
        <v>38</v>
      </c>
      <c r="L36">
        <v>36</v>
      </c>
      <c r="M36">
        <v>35</v>
      </c>
      <c r="N36">
        <v>32</v>
      </c>
      <c r="O36" s="107">
        <f>SUM(C36:N36)/9</f>
        <v>37.555555555555557</v>
      </c>
      <c r="P36" s="107">
        <f t="shared" si="8"/>
        <v>3.8888888888888928</v>
      </c>
      <c r="Q36" s="111">
        <f t="shared" si="7"/>
        <v>0.11551155115511563</v>
      </c>
    </row>
    <row r="37" spans="1:18" x14ac:dyDescent="0.2">
      <c r="B37" t="s">
        <v>285</v>
      </c>
      <c r="C37">
        <v>32</v>
      </c>
      <c r="D37">
        <v>33</v>
      </c>
      <c r="E37">
        <v>46</v>
      </c>
      <c r="F37">
        <v>60</v>
      </c>
      <c r="G37">
        <v>63</v>
      </c>
      <c r="H37">
        <v>62</v>
      </c>
      <c r="I37">
        <v>63</v>
      </c>
      <c r="J37">
        <v>64</v>
      </c>
      <c r="K37">
        <v>61</v>
      </c>
      <c r="L37">
        <v>60</v>
      </c>
      <c r="M37">
        <v>67</v>
      </c>
      <c r="N37">
        <v>70</v>
      </c>
      <c r="O37" s="107">
        <f t="shared" ref="O37:O46" si="9">SUM(C37:N37)/12</f>
        <v>56.75</v>
      </c>
      <c r="P37" s="107">
        <f t="shared" si="8"/>
        <v>19.194444444444443</v>
      </c>
      <c r="Q37" s="111">
        <f t="shared" si="7"/>
        <v>0.51109467455621294</v>
      </c>
    </row>
    <row r="38" spans="1:18" x14ac:dyDescent="0.2">
      <c r="B38" t="s">
        <v>354</v>
      </c>
      <c r="C38">
        <v>68</v>
      </c>
      <c r="D38">
        <v>65</v>
      </c>
      <c r="E38">
        <v>62</v>
      </c>
      <c r="F38">
        <v>61</v>
      </c>
      <c r="G38">
        <v>65</v>
      </c>
      <c r="H38">
        <v>66</v>
      </c>
      <c r="I38">
        <v>68</v>
      </c>
      <c r="J38">
        <v>66</v>
      </c>
      <c r="K38">
        <v>70</v>
      </c>
      <c r="L38">
        <v>68</v>
      </c>
      <c r="M38">
        <v>65</v>
      </c>
      <c r="N38">
        <v>68</v>
      </c>
      <c r="O38" s="107">
        <f t="shared" si="9"/>
        <v>66</v>
      </c>
      <c r="P38" s="107">
        <f t="shared" si="8"/>
        <v>9.25</v>
      </c>
      <c r="Q38" s="111">
        <f t="shared" si="7"/>
        <v>0.16299559471365638</v>
      </c>
    </row>
    <row r="39" spans="1:18" x14ac:dyDescent="0.2">
      <c r="B39" t="s">
        <v>381</v>
      </c>
      <c r="C39">
        <v>70</v>
      </c>
      <c r="D39">
        <v>71</v>
      </c>
      <c r="E39">
        <v>74</v>
      </c>
      <c r="F39">
        <v>74</v>
      </c>
      <c r="G39">
        <v>74</v>
      </c>
      <c r="H39">
        <v>79</v>
      </c>
      <c r="I39">
        <v>77</v>
      </c>
      <c r="J39">
        <v>80</v>
      </c>
      <c r="K39">
        <v>70</v>
      </c>
      <c r="L39">
        <v>66</v>
      </c>
      <c r="M39">
        <v>65</v>
      </c>
      <c r="N39">
        <v>57</v>
      </c>
      <c r="O39" s="107">
        <f t="shared" si="9"/>
        <v>71.416666666666671</v>
      </c>
      <c r="P39" s="107">
        <f t="shared" si="8"/>
        <v>5.4166666666666714</v>
      </c>
      <c r="Q39" s="111">
        <f t="shared" si="7"/>
        <v>8.2070707070707141E-2</v>
      </c>
    </row>
    <row r="40" spans="1:18" x14ac:dyDescent="0.2">
      <c r="B40" t="s">
        <v>435</v>
      </c>
      <c r="C40">
        <v>55</v>
      </c>
      <c r="D40">
        <v>70</v>
      </c>
      <c r="E40">
        <v>75</v>
      </c>
      <c r="F40">
        <v>77</v>
      </c>
      <c r="G40">
        <v>78</v>
      </c>
      <c r="H40">
        <v>51</v>
      </c>
      <c r="I40">
        <v>46</v>
      </c>
      <c r="J40">
        <v>50</v>
      </c>
      <c r="K40">
        <v>52</v>
      </c>
      <c r="L40">
        <v>52</v>
      </c>
      <c r="M40">
        <v>53</v>
      </c>
      <c r="N40">
        <v>59</v>
      </c>
      <c r="O40" s="107">
        <f t="shared" si="9"/>
        <v>59.833333333333336</v>
      </c>
      <c r="P40" s="107">
        <f t="shared" si="8"/>
        <v>-11.583333333333336</v>
      </c>
      <c r="Q40" s="111">
        <f t="shared" si="7"/>
        <v>-0.16219369894982499</v>
      </c>
    </row>
    <row r="41" spans="1:18" x14ac:dyDescent="0.2">
      <c r="B41" t="s">
        <v>451</v>
      </c>
      <c r="C41">
        <v>56</v>
      </c>
      <c r="D41">
        <v>56</v>
      </c>
      <c r="E41">
        <v>56</v>
      </c>
      <c r="F41">
        <v>60</v>
      </c>
      <c r="G41">
        <v>51</v>
      </c>
      <c r="H41">
        <v>50</v>
      </c>
      <c r="I41">
        <v>54</v>
      </c>
      <c r="J41">
        <v>54</v>
      </c>
      <c r="K41">
        <v>7</v>
      </c>
      <c r="L41">
        <v>7</v>
      </c>
      <c r="M41">
        <v>8</v>
      </c>
      <c r="N41">
        <v>8</v>
      </c>
      <c r="O41" s="107">
        <f t="shared" si="9"/>
        <v>38.916666666666664</v>
      </c>
      <c r="P41" s="107">
        <f t="shared" si="8"/>
        <v>-20.916666666666671</v>
      </c>
      <c r="Q41" s="111">
        <f t="shared" si="7"/>
        <v>-0.34958217270194991</v>
      </c>
    </row>
    <row r="42" spans="1:18" x14ac:dyDescent="0.2">
      <c r="B42" t="s">
        <v>452</v>
      </c>
      <c r="C42">
        <v>8</v>
      </c>
      <c r="D42">
        <v>7</v>
      </c>
      <c r="E42">
        <v>7</v>
      </c>
      <c r="F42">
        <v>6</v>
      </c>
      <c r="G42">
        <v>4</v>
      </c>
      <c r="H42">
        <v>4</v>
      </c>
      <c r="I42">
        <v>5</v>
      </c>
      <c r="J42">
        <v>5</v>
      </c>
      <c r="K42">
        <v>5</v>
      </c>
      <c r="L42">
        <v>5</v>
      </c>
      <c r="M42">
        <v>32</v>
      </c>
      <c r="N42">
        <v>29</v>
      </c>
      <c r="O42" s="107">
        <f t="shared" si="9"/>
        <v>9.75</v>
      </c>
      <c r="P42" s="107">
        <f t="shared" si="8"/>
        <v>-29.166666666666664</v>
      </c>
      <c r="Q42" s="111">
        <f t="shared" si="7"/>
        <v>-0.74946466809421841</v>
      </c>
    </row>
    <row r="43" spans="1:18" x14ac:dyDescent="0.2">
      <c r="B43" t="s">
        <v>674</v>
      </c>
      <c r="C43">
        <v>30</v>
      </c>
      <c r="D43">
        <v>32</v>
      </c>
      <c r="E43">
        <v>34</v>
      </c>
      <c r="F43">
        <v>35</v>
      </c>
      <c r="G43">
        <v>33</v>
      </c>
      <c r="H43">
        <v>31</v>
      </c>
      <c r="I43">
        <v>31</v>
      </c>
      <c r="J43">
        <v>29</v>
      </c>
      <c r="K43">
        <v>29</v>
      </c>
      <c r="L43">
        <v>27</v>
      </c>
      <c r="M43">
        <v>26</v>
      </c>
      <c r="N43">
        <v>24</v>
      </c>
      <c r="O43" s="107">
        <f t="shared" si="9"/>
        <v>30.083333333333332</v>
      </c>
      <c r="P43" s="107">
        <f t="shared" si="8"/>
        <v>20.333333333333332</v>
      </c>
      <c r="Q43" s="111">
        <f t="shared" si="7"/>
        <v>2.0854700854700852</v>
      </c>
    </row>
    <row r="44" spans="1:18" x14ac:dyDescent="0.2">
      <c r="B44" t="s">
        <v>675</v>
      </c>
      <c r="C44">
        <v>47</v>
      </c>
      <c r="D44">
        <v>45</v>
      </c>
      <c r="E44">
        <v>42</v>
      </c>
      <c r="F44">
        <v>41</v>
      </c>
      <c r="G44">
        <v>38</v>
      </c>
      <c r="H44">
        <v>37</v>
      </c>
      <c r="I44">
        <v>41</v>
      </c>
      <c r="J44">
        <v>39</v>
      </c>
      <c r="K44">
        <v>38</v>
      </c>
      <c r="L44">
        <v>35</v>
      </c>
      <c r="M44">
        <v>37</v>
      </c>
      <c r="N44">
        <v>39</v>
      </c>
      <c r="O44" s="107">
        <f t="shared" si="9"/>
        <v>39.916666666666664</v>
      </c>
      <c r="P44" s="107">
        <f t="shared" si="8"/>
        <v>9.8333333333333321</v>
      </c>
      <c r="Q44" s="111">
        <f t="shared" si="7"/>
        <v>0.32686980609418281</v>
      </c>
      <c r="R44" t="s">
        <v>676</v>
      </c>
    </row>
    <row r="45" spans="1:18" x14ac:dyDescent="0.2">
      <c r="B45" t="s">
        <v>729</v>
      </c>
      <c r="C45">
        <v>37</v>
      </c>
      <c r="D45">
        <v>34</v>
      </c>
      <c r="E45">
        <v>32</v>
      </c>
      <c r="F45">
        <v>32</v>
      </c>
      <c r="G45">
        <v>36</v>
      </c>
      <c r="H45">
        <v>38</v>
      </c>
      <c r="I45">
        <v>37</v>
      </c>
      <c r="J45">
        <v>37</v>
      </c>
      <c r="K45">
        <v>33</v>
      </c>
      <c r="L45">
        <v>36</v>
      </c>
      <c r="M45">
        <v>36</v>
      </c>
      <c r="N45">
        <v>32</v>
      </c>
      <c r="O45" s="107">
        <f t="shared" si="9"/>
        <v>35</v>
      </c>
      <c r="P45" s="107">
        <f t="shared" si="8"/>
        <v>-4.9166666666666643</v>
      </c>
      <c r="Q45" s="111">
        <f t="shared" si="7"/>
        <v>-0.12317327766179535</v>
      </c>
    </row>
    <row r="46" spans="1:18" x14ac:dyDescent="0.2">
      <c r="B46" s="525" t="s">
        <v>775</v>
      </c>
      <c r="C46">
        <v>29</v>
      </c>
      <c r="D46">
        <v>29</v>
      </c>
      <c r="E46">
        <v>30</v>
      </c>
      <c r="F46">
        <v>31</v>
      </c>
      <c r="G46">
        <v>30</v>
      </c>
      <c r="H46">
        <v>31</v>
      </c>
      <c r="I46">
        <v>32</v>
      </c>
      <c r="J46">
        <v>33</v>
      </c>
      <c r="K46">
        <v>39</v>
      </c>
      <c r="L46">
        <v>37</v>
      </c>
      <c r="M46">
        <v>40</v>
      </c>
      <c r="N46">
        <v>40</v>
      </c>
      <c r="O46" s="107">
        <f t="shared" si="9"/>
        <v>33.416666666666664</v>
      </c>
      <c r="P46" s="107">
        <f t="shared" si="8"/>
        <v>-1.5833333333333357</v>
      </c>
      <c r="Q46" s="111">
        <f t="shared" si="7"/>
        <v>-4.5238095238095306E-2</v>
      </c>
    </row>
    <row r="47" spans="1:18" x14ac:dyDescent="0.2">
      <c r="B47" s="525" t="s">
        <v>800</v>
      </c>
      <c r="C47">
        <v>39</v>
      </c>
      <c r="O47" s="107"/>
      <c r="P47" s="107"/>
      <c r="Q47" s="111"/>
    </row>
    <row r="48" spans="1:18" x14ac:dyDescent="0.2">
      <c r="A48" s="420"/>
      <c r="B48" s="420"/>
      <c r="C48" s="420"/>
      <c r="D48" s="420"/>
      <c r="E48" s="420"/>
      <c r="F48" s="420"/>
      <c r="G48" s="420"/>
      <c r="H48" s="420"/>
      <c r="I48" s="420"/>
      <c r="J48" s="420"/>
      <c r="K48" s="420"/>
      <c r="L48" s="420"/>
      <c r="M48" s="420"/>
      <c r="N48" s="420"/>
      <c r="O48" s="420"/>
      <c r="P48" s="420"/>
      <c r="Q48" s="420"/>
    </row>
    <row r="49" spans="1:18" ht="25.5" x14ac:dyDescent="0.2">
      <c r="A49" s="109" t="s">
        <v>356</v>
      </c>
      <c r="B49" s="110" t="s">
        <v>335</v>
      </c>
      <c r="C49" s="112" t="s">
        <v>336</v>
      </c>
      <c r="D49" s="112" t="s">
        <v>337</v>
      </c>
      <c r="E49" s="112" t="s">
        <v>338</v>
      </c>
      <c r="F49" s="112" t="s">
        <v>339</v>
      </c>
      <c r="G49" s="112" t="s">
        <v>340</v>
      </c>
      <c r="H49" s="112" t="s">
        <v>341</v>
      </c>
      <c r="I49" s="112" t="s">
        <v>342</v>
      </c>
      <c r="J49" s="112" t="s">
        <v>343</v>
      </c>
      <c r="K49" s="112" t="s">
        <v>344</v>
      </c>
      <c r="L49" s="112" t="s">
        <v>345</v>
      </c>
      <c r="M49" s="112" t="s">
        <v>346</v>
      </c>
      <c r="N49" s="112" t="s">
        <v>347</v>
      </c>
    </row>
    <row r="50" spans="1:18" x14ac:dyDescent="0.2">
      <c r="B50" t="s">
        <v>351</v>
      </c>
      <c r="C50">
        <v>305</v>
      </c>
      <c r="D50">
        <v>299</v>
      </c>
      <c r="E50">
        <v>289</v>
      </c>
      <c r="F50">
        <v>276</v>
      </c>
      <c r="G50">
        <v>277</v>
      </c>
      <c r="H50">
        <v>295</v>
      </c>
      <c r="I50">
        <v>283</v>
      </c>
      <c r="J50">
        <v>273</v>
      </c>
      <c r="K50">
        <v>259</v>
      </c>
      <c r="L50">
        <v>249</v>
      </c>
      <c r="M50">
        <v>241</v>
      </c>
      <c r="N50">
        <v>237</v>
      </c>
      <c r="O50" s="107">
        <f t="shared" ref="O50:O70" si="10">SUM(C50:N50)/12</f>
        <v>273.58333333333331</v>
      </c>
      <c r="P50" s="107"/>
    </row>
    <row r="51" spans="1:18" x14ac:dyDescent="0.2">
      <c r="B51" t="s">
        <v>352</v>
      </c>
      <c r="C51">
        <v>237</v>
      </c>
      <c r="D51">
        <v>230</v>
      </c>
      <c r="E51">
        <v>230</v>
      </c>
      <c r="F51">
        <v>230</v>
      </c>
      <c r="G51">
        <v>231</v>
      </c>
      <c r="H51">
        <v>215</v>
      </c>
      <c r="I51">
        <v>218</v>
      </c>
      <c r="J51">
        <v>212</v>
      </c>
      <c r="K51">
        <v>214</v>
      </c>
      <c r="L51">
        <v>217</v>
      </c>
      <c r="M51">
        <v>220</v>
      </c>
      <c r="N51">
        <v>218</v>
      </c>
      <c r="O51" s="107">
        <f t="shared" si="10"/>
        <v>222.66666666666666</v>
      </c>
      <c r="P51" s="107">
        <f t="shared" ref="P51:P58" si="11">SUM(O51-O50)</f>
        <v>-50.916666666666657</v>
      </c>
      <c r="Q51" s="111">
        <f t="shared" ref="Q51:Q57" si="12">SUM(P51/O50)</f>
        <v>-0.18611026500152297</v>
      </c>
    </row>
    <row r="52" spans="1:18" x14ac:dyDescent="0.2">
      <c r="B52" t="s">
        <v>353</v>
      </c>
      <c r="C52">
        <v>231</v>
      </c>
      <c r="D52">
        <v>230</v>
      </c>
      <c r="E52">
        <v>234</v>
      </c>
      <c r="F52">
        <v>229</v>
      </c>
      <c r="G52">
        <v>230</v>
      </c>
      <c r="H52">
        <v>240</v>
      </c>
      <c r="I52">
        <v>245</v>
      </c>
      <c r="J52">
        <v>250</v>
      </c>
      <c r="K52">
        <v>255</v>
      </c>
      <c r="L52">
        <v>260</v>
      </c>
      <c r="M52">
        <v>265</v>
      </c>
      <c r="N52">
        <v>270</v>
      </c>
      <c r="O52" s="107">
        <f t="shared" si="10"/>
        <v>244.91666666666666</v>
      </c>
      <c r="P52" s="107">
        <f t="shared" si="11"/>
        <v>22.25</v>
      </c>
      <c r="Q52" s="111">
        <f t="shared" si="12"/>
        <v>9.9925149700598806E-2</v>
      </c>
    </row>
    <row r="53" spans="1:18" x14ac:dyDescent="0.2">
      <c r="B53" t="s">
        <v>230</v>
      </c>
      <c r="C53">
        <v>280</v>
      </c>
      <c r="D53">
        <v>237</v>
      </c>
      <c r="E53">
        <v>253</v>
      </c>
      <c r="F53">
        <v>253</v>
      </c>
      <c r="G53">
        <v>253</v>
      </c>
      <c r="H53">
        <v>253</v>
      </c>
      <c r="I53">
        <v>253</v>
      </c>
      <c r="J53">
        <v>253</v>
      </c>
      <c r="K53">
        <v>253</v>
      </c>
      <c r="L53">
        <v>260</v>
      </c>
      <c r="M53">
        <v>265</v>
      </c>
      <c r="N53">
        <v>270</v>
      </c>
      <c r="O53" s="107">
        <f t="shared" si="10"/>
        <v>256.91666666666669</v>
      </c>
      <c r="P53" s="107">
        <f t="shared" si="11"/>
        <v>12.000000000000028</v>
      </c>
      <c r="Q53" s="111">
        <f t="shared" si="12"/>
        <v>4.899625723035058E-2</v>
      </c>
    </row>
    <row r="54" spans="1:18" x14ac:dyDescent="0.2">
      <c r="B54" t="s">
        <v>229</v>
      </c>
      <c r="C54">
        <v>288</v>
      </c>
      <c r="D54">
        <v>261</v>
      </c>
      <c r="E54">
        <v>258</v>
      </c>
      <c r="F54">
        <v>267</v>
      </c>
      <c r="G54">
        <v>259</v>
      </c>
      <c r="H54">
        <v>267</v>
      </c>
      <c r="I54">
        <v>272</v>
      </c>
      <c r="J54">
        <v>273</v>
      </c>
      <c r="K54">
        <v>300</v>
      </c>
      <c r="L54">
        <v>296</v>
      </c>
      <c r="M54">
        <v>319</v>
      </c>
      <c r="N54">
        <v>317</v>
      </c>
      <c r="O54" s="107">
        <f t="shared" si="10"/>
        <v>281.41666666666669</v>
      </c>
      <c r="P54" s="107">
        <f t="shared" si="11"/>
        <v>24.5</v>
      </c>
      <c r="Q54" s="111">
        <f t="shared" si="12"/>
        <v>9.5361660720077845E-2</v>
      </c>
    </row>
    <row r="55" spans="1:18" x14ac:dyDescent="0.2">
      <c r="B55" t="s">
        <v>234</v>
      </c>
      <c r="C55">
        <v>297</v>
      </c>
      <c r="D55">
        <v>306</v>
      </c>
      <c r="E55">
        <v>312</v>
      </c>
      <c r="F55">
        <v>311</v>
      </c>
      <c r="G55">
        <v>312</v>
      </c>
      <c r="H55">
        <v>252</v>
      </c>
      <c r="I55">
        <v>312</v>
      </c>
      <c r="J55">
        <v>314</v>
      </c>
      <c r="K55">
        <v>316</v>
      </c>
      <c r="L55">
        <v>235</v>
      </c>
      <c r="M55">
        <v>248</v>
      </c>
      <c r="N55">
        <v>323</v>
      </c>
      <c r="O55" s="107">
        <f t="shared" si="10"/>
        <v>294.83333333333331</v>
      </c>
      <c r="P55" s="107">
        <f t="shared" si="11"/>
        <v>13.416666666666629</v>
      </c>
      <c r="Q55" s="111">
        <f t="shared" si="12"/>
        <v>4.7675451584246235E-2</v>
      </c>
    </row>
    <row r="56" spans="1:18" x14ac:dyDescent="0.2">
      <c r="B56" t="s">
        <v>238</v>
      </c>
      <c r="C56">
        <v>322</v>
      </c>
      <c r="D56">
        <v>318</v>
      </c>
      <c r="E56">
        <v>302</v>
      </c>
      <c r="F56">
        <v>299</v>
      </c>
      <c r="G56">
        <v>301</v>
      </c>
      <c r="H56">
        <v>296</v>
      </c>
      <c r="I56">
        <v>286</v>
      </c>
      <c r="J56">
        <v>290</v>
      </c>
      <c r="K56">
        <v>283</v>
      </c>
      <c r="L56">
        <v>284</v>
      </c>
      <c r="M56">
        <v>289</v>
      </c>
      <c r="N56">
        <v>279</v>
      </c>
      <c r="O56" s="107">
        <f t="shared" si="10"/>
        <v>295.75</v>
      </c>
      <c r="P56" s="107">
        <f t="shared" si="11"/>
        <v>0.91666666666668561</v>
      </c>
      <c r="Q56" s="111">
        <f t="shared" si="12"/>
        <v>3.109101187111427E-3</v>
      </c>
    </row>
    <row r="57" spans="1:18" x14ac:dyDescent="0.2">
      <c r="B57" t="s">
        <v>239</v>
      </c>
      <c r="C57">
        <v>278</v>
      </c>
      <c r="D57">
        <v>270</v>
      </c>
      <c r="E57">
        <v>262</v>
      </c>
      <c r="F57">
        <v>253</v>
      </c>
      <c r="G57">
        <v>261</v>
      </c>
      <c r="H57">
        <v>259</v>
      </c>
      <c r="I57">
        <v>254</v>
      </c>
      <c r="J57">
        <v>255</v>
      </c>
      <c r="K57">
        <v>249</v>
      </c>
      <c r="L57">
        <v>267</v>
      </c>
      <c r="M57">
        <v>263</v>
      </c>
      <c r="N57">
        <v>250</v>
      </c>
      <c r="O57" s="107">
        <f t="shared" si="10"/>
        <v>260.08333333333331</v>
      </c>
      <c r="P57" s="107">
        <f t="shared" si="11"/>
        <v>-35.666666666666686</v>
      </c>
      <c r="Q57" s="111">
        <f t="shared" si="12"/>
        <v>-0.1205973513665822</v>
      </c>
    </row>
    <row r="58" spans="1:18" x14ac:dyDescent="0.2">
      <c r="B58" t="s">
        <v>240</v>
      </c>
      <c r="C58">
        <v>247</v>
      </c>
      <c r="D58">
        <v>250</v>
      </c>
      <c r="E58">
        <v>240</v>
      </c>
      <c r="F58">
        <v>238</v>
      </c>
      <c r="G58">
        <v>230</v>
      </c>
      <c r="H58">
        <v>228</v>
      </c>
      <c r="I58">
        <v>230</v>
      </c>
      <c r="J58">
        <v>228</v>
      </c>
      <c r="K58">
        <v>226</v>
      </c>
      <c r="L58">
        <v>224</v>
      </c>
      <c r="M58">
        <v>228</v>
      </c>
      <c r="N58">
        <v>233</v>
      </c>
      <c r="O58" s="107">
        <f t="shared" si="10"/>
        <v>233.5</v>
      </c>
      <c r="P58" s="107">
        <f t="shared" si="11"/>
        <v>-26.583333333333314</v>
      </c>
      <c r="Q58" s="111">
        <f t="shared" ref="Q58:Q70" si="13">SUM(P58/O57)</f>
        <v>-0.10221082986222359</v>
      </c>
    </row>
    <row r="59" spans="1:18" x14ac:dyDescent="0.2">
      <c r="B59" t="s">
        <v>241</v>
      </c>
      <c r="C59">
        <v>212</v>
      </c>
      <c r="D59">
        <v>216</v>
      </c>
      <c r="E59">
        <v>221</v>
      </c>
      <c r="F59">
        <v>228</v>
      </c>
      <c r="G59">
        <v>226</v>
      </c>
      <c r="H59">
        <v>230</v>
      </c>
      <c r="I59">
        <v>222</v>
      </c>
      <c r="J59">
        <v>225</v>
      </c>
      <c r="K59">
        <v>236</v>
      </c>
      <c r="L59">
        <v>242</v>
      </c>
      <c r="M59">
        <v>246</v>
      </c>
      <c r="N59">
        <v>252</v>
      </c>
      <c r="O59" s="107">
        <f t="shared" si="10"/>
        <v>229.66666666666666</v>
      </c>
      <c r="P59" s="107">
        <f t="shared" ref="P59:P70" si="14">SUM(O59-O58)</f>
        <v>-3.8333333333333428</v>
      </c>
      <c r="Q59" s="111">
        <f t="shared" si="13"/>
        <v>-1.6416845110635302E-2</v>
      </c>
    </row>
    <row r="60" spans="1:18" x14ac:dyDescent="0.2">
      <c r="B60" t="s">
        <v>266</v>
      </c>
      <c r="C60">
        <v>247</v>
      </c>
      <c r="D60">
        <v>248</v>
      </c>
      <c r="E60">
        <v>247</v>
      </c>
      <c r="F60">
        <v>247</v>
      </c>
      <c r="G60">
        <v>254</v>
      </c>
      <c r="H60">
        <v>258</v>
      </c>
      <c r="I60">
        <v>257</v>
      </c>
      <c r="J60">
        <v>255</v>
      </c>
      <c r="K60">
        <v>252</v>
      </c>
      <c r="L60">
        <v>251</v>
      </c>
      <c r="M60">
        <v>249</v>
      </c>
      <c r="N60">
        <v>259</v>
      </c>
      <c r="O60" s="107">
        <f t="shared" si="10"/>
        <v>252</v>
      </c>
      <c r="P60" s="107">
        <f t="shared" si="14"/>
        <v>22.333333333333343</v>
      </c>
      <c r="Q60" s="111">
        <f t="shared" si="13"/>
        <v>9.7242380261248235E-2</v>
      </c>
    </row>
    <row r="61" spans="1:18" x14ac:dyDescent="0.2">
      <c r="B61" t="s">
        <v>285</v>
      </c>
      <c r="C61">
        <v>264</v>
      </c>
      <c r="D61">
        <v>260</v>
      </c>
      <c r="E61">
        <v>262</v>
      </c>
      <c r="F61">
        <v>259</v>
      </c>
      <c r="G61">
        <v>247</v>
      </c>
      <c r="H61">
        <v>238</v>
      </c>
      <c r="I61">
        <v>224</v>
      </c>
      <c r="J61">
        <v>232</v>
      </c>
      <c r="K61">
        <v>239</v>
      </c>
      <c r="L61">
        <v>243</v>
      </c>
      <c r="M61">
        <v>246</v>
      </c>
      <c r="N61">
        <v>247</v>
      </c>
      <c r="O61" s="107">
        <f t="shared" si="10"/>
        <v>246.75</v>
      </c>
      <c r="P61" s="107">
        <f t="shared" si="14"/>
        <v>-5.25</v>
      </c>
      <c r="Q61" s="111">
        <f t="shared" si="13"/>
        <v>-2.0833333333333332E-2</v>
      </c>
      <c r="R61" t="s">
        <v>357</v>
      </c>
    </row>
    <row r="62" spans="1:18" x14ac:dyDescent="0.2">
      <c r="B62" t="s">
        <v>354</v>
      </c>
      <c r="C62">
        <v>257</v>
      </c>
      <c r="D62">
        <v>248</v>
      </c>
      <c r="E62">
        <v>250</v>
      </c>
      <c r="F62">
        <v>264</v>
      </c>
      <c r="G62">
        <v>265</v>
      </c>
      <c r="H62">
        <v>270</v>
      </c>
      <c r="I62">
        <v>279</v>
      </c>
      <c r="J62">
        <v>279</v>
      </c>
      <c r="K62">
        <v>266</v>
      </c>
      <c r="L62">
        <v>260</v>
      </c>
      <c r="M62">
        <v>260</v>
      </c>
      <c r="N62">
        <v>272</v>
      </c>
      <c r="O62" s="107">
        <f t="shared" si="10"/>
        <v>264.16666666666669</v>
      </c>
      <c r="P62" s="107">
        <f t="shared" si="14"/>
        <v>17.416666666666686</v>
      </c>
      <c r="Q62" s="111">
        <f t="shared" si="13"/>
        <v>7.0584262073623852E-2</v>
      </c>
    </row>
    <row r="63" spans="1:18" x14ac:dyDescent="0.2">
      <c r="B63" t="s">
        <v>381</v>
      </c>
      <c r="C63">
        <v>276</v>
      </c>
      <c r="D63">
        <v>277</v>
      </c>
      <c r="E63">
        <v>283</v>
      </c>
      <c r="F63">
        <v>298</v>
      </c>
      <c r="G63">
        <v>294</v>
      </c>
      <c r="H63">
        <v>295</v>
      </c>
      <c r="I63">
        <v>289</v>
      </c>
      <c r="J63">
        <v>284</v>
      </c>
      <c r="K63">
        <v>288</v>
      </c>
      <c r="L63">
        <v>290</v>
      </c>
      <c r="M63">
        <v>303</v>
      </c>
      <c r="N63">
        <v>300</v>
      </c>
      <c r="O63" s="107">
        <f t="shared" si="10"/>
        <v>289.75</v>
      </c>
      <c r="P63" s="107">
        <f t="shared" si="14"/>
        <v>25.583333333333314</v>
      </c>
      <c r="Q63" s="111">
        <f t="shared" si="13"/>
        <v>9.6845425867507814E-2</v>
      </c>
    </row>
    <row r="64" spans="1:18" x14ac:dyDescent="0.2">
      <c r="B64" t="s">
        <v>435</v>
      </c>
      <c r="C64">
        <v>305</v>
      </c>
      <c r="D64">
        <v>296</v>
      </c>
      <c r="E64">
        <v>293</v>
      </c>
      <c r="F64">
        <v>294</v>
      </c>
      <c r="G64">
        <v>286</v>
      </c>
      <c r="H64">
        <v>283</v>
      </c>
      <c r="I64">
        <v>274</v>
      </c>
      <c r="J64">
        <v>260</v>
      </c>
      <c r="K64">
        <v>259</v>
      </c>
      <c r="L64">
        <v>266</v>
      </c>
      <c r="M64">
        <v>259</v>
      </c>
      <c r="N64">
        <v>266</v>
      </c>
      <c r="O64" s="107">
        <f t="shared" si="10"/>
        <v>278.41666666666669</v>
      </c>
      <c r="P64" s="107">
        <f t="shared" si="14"/>
        <v>-11.333333333333314</v>
      </c>
      <c r="Q64" s="111">
        <f t="shared" si="13"/>
        <v>-3.9114178889847508E-2</v>
      </c>
    </row>
    <row r="65" spans="1:18" x14ac:dyDescent="0.2">
      <c r="B65" t="s">
        <v>451</v>
      </c>
      <c r="C65">
        <v>256</v>
      </c>
      <c r="D65">
        <v>252</v>
      </c>
      <c r="E65">
        <v>248</v>
      </c>
      <c r="F65">
        <v>249</v>
      </c>
      <c r="G65">
        <v>253</v>
      </c>
      <c r="H65">
        <v>244</v>
      </c>
      <c r="I65">
        <v>234</v>
      </c>
      <c r="J65">
        <v>221</v>
      </c>
      <c r="K65">
        <v>233</v>
      </c>
      <c r="L65">
        <v>230</v>
      </c>
      <c r="M65">
        <v>238</v>
      </c>
      <c r="N65">
        <v>251</v>
      </c>
      <c r="O65" s="107">
        <f t="shared" si="10"/>
        <v>242.41666666666666</v>
      </c>
      <c r="P65" s="107">
        <f t="shared" si="14"/>
        <v>-36.000000000000028</v>
      </c>
      <c r="Q65" s="111">
        <f t="shared" si="13"/>
        <v>-0.12930260401077531</v>
      </c>
    </row>
    <row r="66" spans="1:18" x14ac:dyDescent="0.2">
      <c r="B66" t="s">
        <v>452</v>
      </c>
      <c r="C66">
        <v>254</v>
      </c>
      <c r="D66">
        <v>242</v>
      </c>
      <c r="E66">
        <v>239</v>
      </c>
      <c r="F66">
        <v>236</v>
      </c>
      <c r="G66">
        <v>231</v>
      </c>
      <c r="H66">
        <v>238</v>
      </c>
      <c r="I66">
        <v>229</v>
      </c>
      <c r="J66">
        <v>248</v>
      </c>
      <c r="K66">
        <v>244</v>
      </c>
      <c r="L66">
        <v>254</v>
      </c>
      <c r="M66">
        <v>257</v>
      </c>
      <c r="N66">
        <v>258</v>
      </c>
      <c r="O66" s="107">
        <f t="shared" si="10"/>
        <v>244.16666666666666</v>
      </c>
      <c r="P66" s="107">
        <f t="shared" si="14"/>
        <v>1.75</v>
      </c>
      <c r="Q66" s="111">
        <f t="shared" si="13"/>
        <v>7.2189755929872815E-3</v>
      </c>
    </row>
    <row r="67" spans="1:18" x14ac:dyDescent="0.2">
      <c r="B67" t="s">
        <v>674</v>
      </c>
      <c r="C67">
        <v>255</v>
      </c>
      <c r="D67">
        <v>254</v>
      </c>
      <c r="E67">
        <v>247</v>
      </c>
      <c r="F67">
        <v>241</v>
      </c>
      <c r="G67">
        <v>243</v>
      </c>
      <c r="H67">
        <v>231</v>
      </c>
      <c r="I67">
        <v>230</v>
      </c>
      <c r="J67">
        <v>227</v>
      </c>
      <c r="K67">
        <v>234</v>
      </c>
      <c r="L67">
        <v>233</v>
      </c>
      <c r="M67">
        <v>238</v>
      </c>
      <c r="N67">
        <v>233</v>
      </c>
      <c r="O67" s="107">
        <f t="shared" si="10"/>
        <v>238.83333333333334</v>
      </c>
      <c r="P67" s="107">
        <f t="shared" si="14"/>
        <v>-5.3333333333333144</v>
      </c>
      <c r="Q67" s="111">
        <f t="shared" si="13"/>
        <v>-2.1843003412969207E-2</v>
      </c>
    </row>
    <row r="68" spans="1:18" x14ac:dyDescent="0.2">
      <c r="B68" t="s">
        <v>675</v>
      </c>
      <c r="C68">
        <v>209</v>
      </c>
      <c r="D68">
        <v>206</v>
      </c>
      <c r="E68">
        <v>206</v>
      </c>
      <c r="F68">
        <v>201</v>
      </c>
      <c r="G68">
        <v>197</v>
      </c>
      <c r="H68">
        <v>190</v>
      </c>
      <c r="I68">
        <v>185</v>
      </c>
      <c r="J68">
        <v>183</v>
      </c>
      <c r="K68">
        <v>148</v>
      </c>
      <c r="L68">
        <v>143</v>
      </c>
      <c r="M68">
        <v>166</v>
      </c>
      <c r="N68">
        <v>170</v>
      </c>
      <c r="O68" s="107">
        <f t="shared" si="10"/>
        <v>183.66666666666666</v>
      </c>
      <c r="P68" s="107">
        <f t="shared" si="14"/>
        <v>-55.166666666666686</v>
      </c>
      <c r="Q68" s="111">
        <f t="shared" si="13"/>
        <v>-0.23098394975575723</v>
      </c>
      <c r="R68" t="s">
        <v>730</v>
      </c>
    </row>
    <row r="69" spans="1:18" x14ac:dyDescent="0.2">
      <c r="B69" t="s">
        <v>729</v>
      </c>
      <c r="C69">
        <v>173</v>
      </c>
      <c r="D69">
        <v>173</v>
      </c>
      <c r="E69">
        <v>171</v>
      </c>
      <c r="F69">
        <v>174</v>
      </c>
      <c r="G69">
        <v>174</v>
      </c>
      <c r="H69">
        <v>175</v>
      </c>
      <c r="I69">
        <v>183</v>
      </c>
      <c r="J69">
        <v>189</v>
      </c>
      <c r="K69">
        <v>198</v>
      </c>
      <c r="L69">
        <v>225</v>
      </c>
      <c r="M69">
        <v>235</v>
      </c>
      <c r="N69">
        <v>254</v>
      </c>
      <c r="O69" s="107">
        <f t="shared" si="10"/>
        <v>193.66666666666666</v>
      </c>
      <c r="P69" s="107">
        <f t="shared" si="14"/>
        <v>10</v>
      </c>
      <c r="Q69" s="111">
        <f t="shared" si="13"/>
        <v>5.4446460980036297E-2</v>
      </c>
    </row>
    <row r="70" spans="1:18" x14ac:dyDescent="0.2">
      <c r="B70" s="525" t="s">
        <v>775</v>
      </c>
      <c r="C70">
        <v>268</v>
      </c>
      <c r="D70">
        <v>175</v>
      </c>
      <c r="E70">
        <v>179</v>
      </c>
      <c r="F70">
        <v>183</v>
      </c>
      <c r="G70">
        <v>196</v>
      </c>
      <c r="H70">
        <v>202</v>
      </c>
      <c r="I70">
        <v>211</v>
      </c>
      <c r="J70">
        <v>212</v>
      </c>
      <c r="K70">
        <v>210</v>
      </c>
      <c r="L70">
        <v>215</v>
      </c>
      <c r="M70">
        <v>223</v>
      </c>
      <c r="N70">
        <v>223</v>
      </c>
      <c r="O70" s="107">
        <f t="shared" si="10"/>
        <v>208.08333333333334</v>
      </c>
      <c r="P70" s="107">
        <f t="shared" si="14"/>
        <v>14.416666666666686</v>
      </c>
      <c r="Q70" s="111">
        <f t="shared" si="13"/>
        <v>7.4440619621342616E-2</v>
      </c>
    </row>
    <row r="71" spans="1:18" x14ac:dyDescent="0.2">
      <c r="B71" s="525" t="s">
        <v>800</v>
      </c>
      <c r="C71">
        <v>225</v>
      </c>
      <c r="O71" s="107"/>
      <c r="P71" s="107"/>
      <c r="Q71" s="111"/>
    </row>
    <row r="72" spans="1:18" ht="25.5" x14ac:dyDescent="0.2">
      <c r="A72" s="109" t="s">
        <v>358</v>
      </c>
      <c r="B72" s="110" t="s">
        <v>335</v>
      </c>
      <c r="C72" s="112" t="s">
        <v>336</v>
      </c>
      <c r="D72" s="112" t="s">
        <v>337</v>
      </c>
      <c r="E72" s="112" t="s">
        <v>338</v>
      </c>
      <c r="F72" s="112" t="s">
        <v>339</v>
      </c>
      <c r="G72" s="112" t="s">
        <v>340</v>
      </c>
      <c r="H72" s="112" t="s">
        <v>341</v>
      </c>
      <c r="I72" s="112" t="s">
        <v>342</v>
      </c>
      <c r="J72" s="112" t="s">
        <v>343</v>
      </c>
      <c r="K72" s="112" t="s">
        <v>344</v>
      </c>
      <c r="L72" s="112" t="s">
        <v>345</v>
      </c>
      <c r="M72" s="112" t="s">
        <v>346</v>
      </c>
      <c r="N72" s="112" t="s">
        <v>347</v>
      </c>
    </row>
    <row r="73" spans="1:18" x14ac:dyDescent="0.2">
      <c r="B73" t="s">
        <v>351</v>
      </c>
      <c r="C73">
        <v>65</v>
      </c>
      <c r="D73">
        <v>62</v>
      </c>
      <c r="E73">
        <v>57</v>
      </c>
      <c r="F73">
        <v>56</v>
      </c>
      <c r="G73">
        <v>52</v>
      </c>
      <c r="H73">
        <v>51</v>
      </c>
      <c r="I73">
        <v>49</v>
      </c>
      <c r="J73">
        <v>55</v>
      </c>
      <c r="K73">
        <v>59</v>
      </c>
      <c r="L73">
        <v>55</v>
      </c>
      <c r="M73">
        <v>54</v>
      </c>
      <c r="N73">
        <v>66</v>
      </c>
      <c r="O73" s="107">
        <f t="shared" ref="O73:O93" si="15">SUM(C73:N73)/12</f>
        <v>56.75</v>
      </c>
      <c r="P73" s="107"/>
    </row>
    <row r="74" spans="1:18" x14ac:dyDescent="0.2">
      <c r="B74" t="s">
        <v>352</v>
      </c>
      <c r="C74">
        <v>67</v>
      </c>
      <c r="D74">
        <v>72</v>
      </c>
      <c r="E74">
        <v>72</v>
      </c>
      <c r="F74">
        <v>73</v>
      </c>
      <c r="G74">
        <v>71</v>
      </c>
      <c r="H74">
        <v>74</v>
      </c>
      <c r="I74">
        <v>74</v>
      </c>
      <c r="J74">
        <v>74</v>
      </c>
      <c r="K74">
        <v>70</v>
      </c>
      <c r="L74">
        <v>66</v>
      </c>
      <c r="M74">
        <v>62</v>
      </c>
      <c r="N74">
        <v>63</v>
      </c>
      <c r="O74" s="107">
        <f t="shared" si="15"/>
        <v>69.833333333333329</v>
      </c>
      <c r="P74" s="107">
        <f t="shared" ref="P74:P81" si="16">SUM(O74-O73)</f>
        <v>13.083333333333329</v>
      </c>
      <c r="Q74" s="111">
        <f t="shared" ref="Q74:Q80" si="17">SUM(P74/O73)</f>
        <v>0.23054331864904543</v>
      </c>
    </row>
    <row r="75" spans="1:18" x14ac:dyDescent="0.2">
      <c r="B75" t="s">
        <v>353</v>
      </c>
      <c r="C75">
        <v>68</v>
      </c>
      <c r="D75">
        <v>75</v>
      </c>
      <c r="E75">
        <v>74</v>
      </c>
      <c r="F75">
        <v>79</v>
      </c>
      <c r="G75">
        <v>75</v>
      </c>
      <c r="H75">
        <v>74</v>
      </c>
      <c r="I75">
        <v>64</v>
      </c>
      <c r="J75">
        <v>75</v>
      </c>
      <c r="K75">
        <v>76</v>
      </c>
      <c r="L75">
        <v>78</v>
      </c>
      <c r="M75">
        <v>79</v>
      </c>
      <c r="N75">
        <v>81</v>
      </c>
      <c r="O75" s="107">
        <f t="shared" si="15"/>
        <v>74.833333333333329</v>
      </c>
      <c r="P75" s="107">
        <f t="shared" si="16"/>
        <v>5</v>
      </c>
      <c r="Q75" s="111">
        <f t="shared" si="17"/>
        <v>7.1599045346062054E-2</v>
      </c>
    </row>
    <row r="76" spans="1:18" x14ac:dyDescent="0.2">
      <c r="B76" t="s">
        <v>230</v>
      </c>
      <c r="C76">
        <v>76</v>
      </c>
      <c r="D76">
        <v>79</v>
      </c>
      <c r="E76">
        <v>76</v>
      </c>
      <c r="F76">
        <v>74</v>
      </c>
      <c r="G76">
        <v>72</v>
      </c>
      <c r="H76">
        <v>70</v>
      </c>
      <c r="I76">
        <v>68</v>
      </c>
      <c r="J76">
        <v>59</v>
      </c>
      <c r="K76">
        <v>67</v>
      </c>
      <c r="L76">
        <v>66</v>
      </c>
      <c r="M76">
        <v>67</v>
      </c>
      <c r="N76">
        <v>64</v>
      </c>
      <c r="O76" s="107">
        <f t="shared" si="15"/>
        <v>69.833333333333329</v>
      </c>
      <c r="P76" s="107">
        <f t="shared" si="16"/>
        <v>-5</v>
      </c>
      <c r="Q76" s="111">
        <f t="shared" si="17"/>
        <v>-6.6815144766147E-2</v>
      </c>
    </row>
    <row r="77" spans="1:18" x14ac:dyDescent="0.2">
      <c r="B77" t="s">
        <v>229</v>
      </c>
      <c r="C77">
        <v>67</v>
      </c>
      <c r="D77">
        <v>57</v>
      </c>
      <c r="E77">
        <v>57</v>
      </c>
      <c r="F77">
        <v>58</v>
      </c>
      <c r="G77">
        <v>57</v>
      </c>
      <c r="H77">
        <v>60</v>
      </c>
      <c r="I77">
        <v>55</v>
      </c>
      <c r="J77">
        <v>55</v>
      </c>
      <c r="K77">
        <v>64</v>
      </c>
      <c r="L77">
        <v>61</v>
      </c>
      <c r="M77">
        <v>68</v>
      </c>
      <c r="N77">
        <v>67</v>
      </c>
      <c r="O77" s="107">
        <f t="shared" si="15"/>
        <v>60.5</v>
      </c>
      <c r="P77" s="107">
        <f t="shared" si="16"/>
        <v>-9.3333333333333286</v>
      </c>
      <c r="Q77" s="111">
        <f t="shared" si="17"/>
        <v>-0.13365155131264911</v>
      </c>
    </row>
    <row r="78" spans="1:18" x14ac:dyDescent="0.2">
      <c r="B78" t="s">
        <v>234</v>
      </c>
      <c r="C78">
        <v>71</v>
      </c>
      <c r="D78">
        <v>62</v>
      </c>
      <c r="E78">
        <v>61</v>
      </c>
      <c r="F78">
        <v>59</v>
      </c>
      <c r="G78">
        <v>54</v>
      </c>
      <c r="H78">
        <v>56</v>
      </c>
      <c r="I78">
        <v>56</v>
      </c>
      <c r="J78">
        <v>58</v>
      </c>
      <c r="K78">
        <v>60</v>
      </c>
      <c r="L78">
        <v>65</v>
      </c>
      <c r="M78">
        <v>72</v>
      </c>
      <c r="N78">
        <v>75</v>
      </c>
      <c r="O78" s="107">
        <f t="shared" si="15"/>
        <v>62.416666666666664</v>
      </c>
      <c r="P78" s="107">
        <f t="shared" si="16"/>
        <v>1.9166666666666643</v>
      </c>
      <c r="Q78" s="111">
        <f t="shared" si="17"/>
        <v>3.1680440771349822E-2</v>
      </c>
    </row>
    <row r="79" spans="1:18" x14ac:dyDescent="0.2">
      <c r="B79" t="s">
        <v>238</v>
      </c>
      <c r="C79">
        <v>76</v>
      </c>
      <c r="D79">
        <v>73</v>
      </c>
      <c r="E79">
        <v>67</v>
      </c>
      <c r="F79">
        <v>66</v>
      </c>
      <c r="G79">
        <v>66</v>
      </c>
      <c r="H79">
        <v>68</v>
      </c>
      <c r="I79">
        <v>69</v>
      </c>
      <c r="J79">
        <v>72</v>
      </c>
      <c r="K79">
        <v>69</v>
      </c>
      <c r="L79">
        <v>75</v>
      </c>
      <c r="M79">
        <v>73</v>
      </c>
      <c r="N79">
        <v>74</v>
      </c>
      <c r="O79" s="107">
        <f t="shared" si="15"/>
        <v>70.666666666666671</v>
      </c>
      <c r="P79" s="107">
        <f t="shared" si="16"/>
        <v>8.2500000000000071</v>
      </c>
      <c r="Q79" s="111">
        <f t="shared" si="17"/>
        <v>0.13217623497997341</v>
      </c>
    </row>
    <row r="80" spans="1:18" x14ac:dyDescent="0.2">
      <c r="B80" t="s">
        <v>239</v>
      </c>
      <c r="C80">
        <v>72</v>
      </c>
      <c r="D80">
        <v>72</v>
      </c>
      <c r="E80">
        <v>71</v>
      </c>
      <c r="F80">
        <v>73</v>
      </c>
      <c r="G80">
        <v>77</v>
      </c>
      <c r="H80">
        <v>76</v>
      </c>
      <c r="I80">
        <v>76</v>
      </c>
      <c r="J80">
        <v>78</v>
      </c>
      <c r="K80">
        <v>74</v>
      </c>
      <c r="L80">
        <v>88</v>
      </c>
      <c r="M80">
        <v>92</v>
      </c>
      <c r="N80">
        <v>76</v>
      </c>
      <c r="O80" s="107">
        <f t="shared" si="15"/>
        <v>77.083333333333329</v>
      </c>
      <c r="P80" s="107">
        <f t="shared" si="16"/>
        <v>6.4166666666666572</v>
      </c>
      <c r="Q80" s="111">
        <f t="shared" si="17"/>
        <v>9.0801886792452685E-2</v>
      </c>
    </row>
    <row r="81" spans="1:18" x14ac:dyDescent="0.2">
      <c r="B81" t="s">
        <v>240</v>
      </c>
      <c r="C81">
        <v>76</v>
      </c>
      <c r="D81">
        <v>79</v>
      </c>
      <c r="E81">
        <v>94</v>
      </c>
      <c r="F81">
        <v>75</v>
      </c>
      <c r="G81">
        <v>79</v>
      </c>
      <c r="H81">
        <v>77</v>
      </c>
      <c r="I81">
        <v>83</v>
      </c>
      <c r="J81">
        <v>83</v>
      </c>
      <c r="K81">
        <v>86</v>
      </c>
      <c r="L81">
        <v>85</v>
      </c>
      <c r="M81">
        <v>82</v>
      </c>
      <c r="N81">
        <v>89</v>
      </c>
      <c r="O81" s="107">
        <f t="shared" si="15"/>
        <v>82.333333333333329</v>
      </c>
      <c r="P81" s="107">
        <f t="shared" si="16"/>
        <v>5.25</v>
      </c>
      <c r="Q81" s="111">
        <f t="shared" ref="Q81:Q93" si="18">SUM(P81/O80)</f>
        <v>6.8108108108108106E-2</v>
      </c>
    </row>
    <row r="82" spans="1:18" x14ac:dyDescent="0.2">
      <c r="B82" t="s">
        <v>241</v>
      </c>
      <c r="C82">
        <v>92</v>
      </c>
      <c r="D82">
        <v>91</v>
      </c>
      <c r="E82">
        <v>95</v>
      </c>
      <c r="F82">
        <v>93</v>
      </c>
      <c r="G82">
        <v>96</v>
      </c>
      <c r="H82">
        <v>94</v>
      </c>
      <c r="I82">
        <v>91</v>
      </c>
      <c r="J82">
        <v>90</v>
      </c>
      <c r="K82">
        <v>91</v>
      </c>
      <c r="L82">
        <v>95</v>
      </c>
      <c r="M82">
        <v>96</v>
      </c>
      <c r="N82">
        <v>73</v>
      </c>
      <c r="O82" s="107">
        <f t="shared" si="15"/>
        <v>91.416666666666671</v>
      </c>
      <c r="P82" s="107">
        <f t="shared" ref="P82:P93" si="19">SUM(O82-O81)</f>
        <v>9.0833333333333428</v>
      </c>
      <c r="Q82" s="111">
        <f t="shared" si="18"/>
        <v>0.11032388663967624</v>
      </c>
    </row>
    <row r="83" spans="1:18" x14ac:dyDescent="0.2">
      <c r="B83" t="s">
        <v>266</v>
      </c>
      <c r="C83">
        <v>72</v>
      </c>
      <c r="D83">
        <v>72</v>
      </c>
      <c r="E83">
        <v>65</v>
      </c>
      <c r="F83">
        <v>62</v>
      </c>
      <c r="G83">
        <v>61</v>
      </c>
      <c r="H83">
        <v>65</v>
      </c>
      <c r="I83">
        <v>68</v>
      </c>
      <c r="J83">
        <v>70</v>
      </c>
      <c r="K83">
        <v>68</v>
      </c>
      <c r="L83">
        <v>70</v>
      </c>
      <c r="M83">
        <v>71</v>
      </c>
      <c r="N83">
        <v>73</v>
      </c>
      <c r="O83" s="107">
        <f t="shared" si="15"/>
        <v>68.083333333333329</v>
      </c>
      <c r="P83" s="107">
        <f t="shared" si="19"/>
        <v>-23.333333333333343</v>
      </c>
      <c r="Q83" s="111">
        <f t="shared" si="18"/>
        <v>-0.2552415679124887</v>
      </c>
    </row>
    <row r="84" spans="1:18" x14ac:dyDescent="0.2">
      <c r="B84" t="s">
        <v>285</v>
      </c>
      <c r="C84">
        <v>72</v>
      </c>
      <c r="D84">
        <v>70</v>
      </c>
      <c r="E84">
        <v>73</v>
      </c>
      <c r="F84">
        <v>77</v>
      </c>
      <c r="G84">
        <v>74</v>
      </c>
      <c r="H84">
        <v>74</v>
      </c>
      <c r="I84">
        <v>76</v>
      </c>
      <c r="J84">
        <v>75</v>
      </c>
      <c r="K84">
        <v>77</v>
      </c>
      <c r="L84">
        <v>82</v>
      </c>
      <c r="M84">
        <v>85</v>
      </c>
      <c r="N84">
        <v>88</v>
      </c>
      <c r="O84" s="107">
        <f t="shared" si="15"/>
        <v>76.916666666666671</v>
      </c>
      <c r="P84" s="107">
        <f t="shared" si="19"/>
        <v>8.8333333333333428</v>
      </c>
      <c r="Q84" s="111">
        <f t="shared" si="18"/>
        <v>0.1297429620563037</v>
      </c>
    </row>
    <row r="85" spans="1:18" x14ac:dyDescent="0.2">
      <c r="B85" t="s">
        <v>354</v>
      </c>
      <c r="C85">
        <v>88</v>
      </c>
      <c r="D85">
        <v>84</v>
      </c>
      <c r="E85">
        <v>81</v>
      </c>
      <c r="F85">
        <v>81</v>
      </c>
      <c r="G85">
        <v>79</v>
      </c>
      <c r="H85">
        <v>79</v>
      </c>
      <c r="I85">
        <v>77</v>
      </c>
      <c r="J85">
        <v>82</v>
      </c>
      <c r="K85">
        <v>80</v>
      </c>
      <c r="L85">
        <v>73</v>
      </c>
      <c r="M85">
        <v>76</v>
      </c>
      <c r="N85">
        <v>76</v>
      </c>
      <c r="O85" s="107">
        <f t="shared" si="15"/>
        <v>79.666666666666671</v>
      </c>
      <c r="P85" s="107">
        <f t="shared" si="19"/>
        <v>2.75</v>
      </c>
      <c r="Q85" s="111">
        <f t="shared" si="18"/>
        <v>3.5752979414951244E-2</v>
      </c>
    </row>
    <row r="86" spans="1:18" x14ac:dyDescent="0.2">
      <c r="B86" t="s">
        <v>381</v>
      </c>
      <c r="C86">
        <v>75</v>
      </c>
      <c r="D86">
        <v>77</v>
      </c>
      <c r="E86">
        <v>75</v>
      </c>
      <c r="F86">
        <v>75</v>
      </c>
      <c r="G86">
        <v>79</v>
      </c>
      <c r="H86">
        <v>74</v>
      </c>
      <c r="I86">
        <v>75</v>
      </c>
      <c r="J86">
        <v>77</v>
      </c>
      <c r="K86">
        <v>74</v>
      </c>
      <c r="L86">
        <v>70</v>
      </c>
      <c r="M86">
        <v>70</v>
      </c>
      <c r="N86">
        <v>72</v>
      </c>
      <c r="O86" s="107">
        <f t="shared" si="15"/>
        <v>74.416666666666671</v>
      </c>
      <c r="P86" s="107">
        <f t="shared" si="19"/>
        <v>-5.25</v>
      </c>
      <c r="Q86" s="111">
        <f t="shared" si="18"/>
        <v>-6.5899581589958151E-2</v>
      </c>
    </row>
    <row r="87" spans="1:18" x14ac:dyDescent="0.2">
      <c r="B87" t="s">
        <v>435</v>
      </c>
      <c r="C87">
        <v>74</v>
      </c>
      <c r="D87">
        <v>71</v>
      </c>
      <c r="E87">
        <v>73</v>
      </c>
      <c r="F87">
        <v>76</v>
      </c>
      <c r="G87">
        <v>72</v>
      </c>
      <c r="H87">
        <v>70</v>
      </c>
      <c r="I87">
        <v>73</v>
      </c>
      <c r="J87">
        <v>73</v>
      </c>
      <c r="K87">
        <v>72</v>
      </c>
      <c r="L87">
        <v>73</v>
      </c>
      <c r="M87">
        <v>76</v>
      </c>
      <c r="N87">
        <v>77</v>
      </c>
      <c r="O87" s="107">
        <f t="shared" si="15"/>
        <v>73.333333333333329</v>
      </c>
      <c r="P87" s="107">
        <f t="shared" si="19"/>
        <v>-1.0833333333333428</v>
      </c>
      <c r="Q87" s="111">
        <f t="shared" si="18"/>
        <v>-1.4557670772676497E-2</v>
      </c>
    </row>
    <row r="88" spans="1:18" x14ac:dyDescent="0.2">
      <c r="B88" t="s">
        <v>451</v>
      </c>
      <c r="C88">
        <v>71</v>
      </c>
      <c r="D88">
        <v>70</v>
      </c>
      <c r="E88">
        <v>68</v>
      </c>
      <c r="F88">
        <v>71</v>
      </c>
      <c r="G88">
        <v>69</v>
      </c>
      <c r="H88">
        <v>69</v>
      </c>
      <c r="I88">
        <v>67</v>
      </c>
      <c r="J88">
        <v>70</v>
      </c>
      <c r="K88">
        <v>69</v>
      </c>
      <c r="L88">
        <v>69</v>
      </c>
      <c r="M88">
        <v>69</v>
      </c>
      <c r="N88">
        <v>65</v>
      </c>
      <c r="O88" s="107">
        <f t="shared" si="15"/>
        <v>68.916666666666671</v>
      </c>
      <c r="P88" s="107">
        <f t="shared" si="19"/>
        <v>-4.4166666666666572</v>
      </c>
      <c r="Q88" s="111">
        <f t="shared" si="18"/>
        <v>-6.0227272727272602E-2</v>
      </c>
    </row>
    <row r="89" spans="1:18" x14ac:dyDescent="0.2">
      <c r="B89" t="s">
        <v>452</v>
      </c>
      <c r="C89">
        <v>69</v>
      </c>
      <c r="D89">
        <v>66</v>
      </c>
      <c r="E89">
        <v>63</v>
      </c>
      <c r="F89">
        <v>62</v>
      </c>
      <c r="G89">
        <v>65</v>
      </c>
      <c r="H89">
        <v>62</v>
      </c>
      <c r="I89">
        <v>64</v>
      </c>
      <c r="J89">
        <v>63</v>
      </c>
      <c r="K89">
        <v>57</v>
      </c>
      <c r="L89">
        <v>57</v>
      </c>
      <c r="M89">
        <v>57</v>
      </c>
      <c r="N89">
        <v>58</v>
      </c>
      <c r="O89" s="107">
        <f t="shared" si="15"/>
        <v>61.916666666666664</v>
      </c>
      <c r="P89" s="107">
        <f t="shared" si="19"/>
        <v>-7.0000000000000071</v>
      </c>
      <c r="Q89" s="111">
        <f t="shared" si="18"/>
        <v>-0.10157194679564702</v>
      </c>
    </row>
    <row r="90" spans="1:18" x14ac:dyDescent="0.2">
      <c r="B90" t="s">
        <v>674</v>
      </c>
      <c r="C90">
        <v>52</v>
      </c>
      <c r="D90">
        <v>53</v>
      </c>
      <c r="E90">
        <v>56</v>
      </c>
      <c r="F90">
        <v>51</v>
      </c>
      <c r="G90">
        <v>48</v>
      </c>
      <c r="H90">
        <v>50</v>
      </c>
      <c r="I90">
        <v>51</v>
      </c>
      <c r="J90">
        <v>48</v>
      </c>
      <c r="K90">
        <v>50</v>
      </c>
      <c r="L90">
        <v>52</v>
      </c>
      <c r="M90">
        <v>53</v>
      </c>
      <c r="N90">
        <v>53</v>
      </c>
      <c r="O90" s="107">
        <f t="shared" si="15"/>
        <v>51.416666666666664</v>
      </c>
      <c r="P90" s="107">
        <f t="shared" si="19"/>
        <v>-10.5</v>
      </c>
      <c r="Q90" s="111">
        <f t="shared" si="18"/>
        <v>-0.1695827725437416</v>
      </c>
    </row>
    <row r="91" spans="1:18" x14ac:dyDescent="0.2">
      <c r="B91" t="s">
        <v>675</v>
      </c>
      <c r="C91">
        <v>47</v>
      </c>
      <c r="D91">
        <v>47</v>
      </c>
      <c r="E91">
        <v>47</v>
      </c>
      <c r="F91">
        <v>49</v>
      </c>
      <c r="G91">
        <v>46</v>
      </c>
      <c r="H91">
        <v>47</v>
      </c>
      <c r="I91">
        <v>49</v>
      </c>
      <c r="J91">
        <v>47</v>
      </c>
      <c r="K91">
        <v>43</v>
      </c>
      <c r="L91">
        <v>40</v>
      </c>
      <c r="M91">
        <v>3</v>
      </c>
      <c r="N91">
        <v>2</v>
      </c>
      <c r="O91" s="107">
        <f t="shared" si="15"/>
        <v>38.916666666666664</v>
      </c>
      <c r="P91" s="107">
        <f t="shared" si="19"/>
        <v>-12.5</v>
      </c>
      <c r="Q91" s="111">
        <f t="shared" si="18"/>
        <v>-0.24311183144246354</v>
      </c>
      <c r="R91" t="s">
        <v>731</v>
      </c>
    </row>
    <row r="92" spans="1:18" x14ac:dyDescent="0.2">
      <c r="B92" t="s">
        <v>729</v>
      </c>
      <c r="C92">
        <v>2</v>
      </c>
      <c r="D92">
        <v>2</v>
      </c>
      <c r="E92">
        <v>2</v>
      </c>
      <c r="F92">
        <v>2</v>
      </c>
      <c r="G92">
        <v>2</v>
      </c>
      <c r="H92">
        <v>2</v>
      </c>
      <c r="I92">
        <v>2</v>
      </c>
      <c r="J92">
        <v>34</v>
      </c>
      <c r="K92">
        <v>2</v>
      </c>
      <c r="L92">
        <v>2</v>
      </c>
      <c r="M92">
        <v>2</v>
      </c>
      <c r="N92">
        <v>1</v>
      </c>
      <c r="O92" s="107">
        <f t="shared" si="15"/>
        <v>4.583333333333333</v>
      </c>
      <c r="P92" s="107">
        <f t="shared" si="19"/>
        <v>-34.333333333333329</v>
      </c>
      <c r="Q92" s="111">
        <f t="shared" si="18"/>
        <v>-0.88222698072805128</v>
      </c>
    </row>
    <row r="93" spans="1:18" x14ac:dyDescent="0.2">
      <c r="B93" s="525" t="s">
        <v>775</v>
      </c>
      <c r="C93">
        <v>0</v>
      </c>
      <c r="D93">
        <v>0</v>
      </c>
      <c r="E93">
        <v>0</v>
      </c>
      <c r="F93">
        <v>0</v>
      </c>
      <c r="G93">
        <v>0</v>
      </c>
      <c r="H93">
        <v>0</v>
      </c>
      <c r="I93">
        <v>0</v>
      </c>
      <c r="J93">
        <v>0</v>
      </c>
      <c r="K93">
        <v>0</v>
      </c>
      <c r="L93">
        <v>0</v>
      </c>
      <c r="M93">
        <v>0</v>
      </c>
      <c r="N93">
        <v>0</v>
      </c>
      <c r="O93" s="107">
        <f t="shared" si="15"/>
        <v>0</v>
      </c>
      <c r="P93" s="107">
        <f t="shared" si="19"/>
        <v>-4.583333333333333</v>
      </c>
      <c r="Q93" s="111">
        <f t="shared" si="18"/>
        <v>-1</v>
      </c>
    </row>
    <row r="94" spans="1:18" x14ac:dyDescent="0.2">
      <c r="B94" s="525" t="s">
        <v>800</v>
      </c>
      <c r="C94">
        <v>44</v>
      </c>
      <c r="O94" s="107"/>
      <c r="P94" s="107"/>
      <c r="Q94" s="111"/>
    </row>
    <row r="95" spans="1:18" x14ac:dyDescent="0.2">
      <c r="A95" s="420"/>
      <c r="B95" s="420"/>
      <c r="C95" s="420"/>
      <c r="D95" s="420"/>
      <c r="E95" s="420"/>
      <c r="F95" s="420"/>
      <c r="G95" s="420"/>
      <c r="H95" s="420"/>
      <c r="I95" s="420"/>
      <c r="J95" s="420"/>
      <c r="K95" s="420"/>
      <c r="L95" s="420"/>
      <c r="M95" s="420"/>
      <c r="N95" s="420"/>
      <c r="O95" s="420"/>
      <c r="P95" s="420"/>
      <c r="Q95" s="420"/>
    </row>
    <row r="96" spans="1:18" ht="25.5" x14ac:dyDescent="0.2">
      <c r="A96" s="109" t="s">
        <v>359</v>
      </c>
      <c r="B96" s="110" t="s">
        <v>335</v>
      </c>
      <c r="C96" s="112" t="s">
        <v>336</v>
      </c>
      <c r="D96" s="112" t="s">
        <v>337</v>
      </c>
      <c r="E96" s="112" t="s">
        <v>338</v>
      </c>
      <c r="F96" s="112" t="s">
        <v>339</v>
      </c>
      <c r="G96" s="112" t="s">
        <v>340</v>
      </c>
      <c r="H96" s="112" t="s">
        <v>341</v>
      </c>
      <c r="I96" s="112" t="s">
        <v>342</v>
      </c>
      <c r="J96" s="112" t="s">
        <v>343</v>
      </c>
      <c r="K96" s="112" t="s">
        <v>344</v>
      </c>
      <c r="L96" s="112" t="s">
        <v>345</v>
      </c>
      <c r="M96" s="112" t="s">
        <v>346</v>
      </c>
      <c r="N96" s="112" t="s">
        <v>347</v>
      </c>
    </row>
    <row r="97" spans="2:17" x14ac:dyDescent="0.2">
      <c r="B97" t="s">
        <v>351</v>
      </c>
      <c r="C97">
        <v>683</v>
      </c>
      <c r="D97">
        <v>675</v>
      </c>
      <c r="E97">
        <v>696</v>
      </c>
      <c r="F97">
        <v>659</v>
      </c>
      <c r="G97">
        <v>661</v>
      </c>
      <c r="H97">
        <v>650</v>
      </c>
      <c r="I97">
        <v>666</v>
      </c>
      <c r="J97">
        <v>688</v>
      </c>
      <c r="K97">
        <v>667</v>
      </c>
      <c r="L97">
        <v>670</v>
      </c>
      <c r="M97">
        <v>639</v>
      </c>
      <c r="N97">
        <v>653</v>
      </c>
      <c r="O97" s="107">
        <f t="shared" ref="O97:O117" si="20">SUM(C97:N97)/12</f>
        <v>667.25</v>
      </c>
      <c r="P97" s="107"/>
    </row>
    <row r="98" spans="2:17" x14ac:dyDescent="0.2">
      <c r="B98" t="s">
        <v>352</v>
      </c>
      <c r="C98">
        <v>624</v>
      </c>
      <c r="D98">
        <v>643</v>
      </c>
      <c r="E98">
        <v>636</v>
      </c>
      <c r="F98">
        <v>670</v>
      </c>
      <c r="G98">
        <v>642</v>
      </c>
      <c r="H98">
        <v>655</v>
      </c>
      <c r="I98">
        <v>650</v>
      </c>
      <c r="J98">
        <v>660</v>
      </c>
      <c r="K98">
        <v>644</v>
      </c>
      <c r="L98">
        <v>672</v>
      </c>
      <c r="M98">
        <v>658</v>
      </c>
      <c r="N98">
        <v>659</v>
      </c>
      <c r="O98" s="107">
        <f t="shared" si="20"/>
        <v>651.08333333333337</v>
      </c>
      <c r="P98" s="107">
        <f t="shared" ref="P98:P105" si="21">SUM(O98-O97)</f>
        <v>-16.166666666666629</v>
      </c>
      <c r="Q98" s="111">
        <f t="shared" ref="Q98:Q104" si="22">SUM(P98/O97)</f>
        <v>-2.422879980017479E-2</v>
      </c>
    </row>
    <row r="99" spans="2:17" x14ac:dyDescent="0.2">
      <c r="B99" t="s">
        <v>353</v>
      </c>
      <c r="C99">
        <v>661</v>
      </c>
      <c r="D99">
        <v>673</v>
      </c>
      <c r="E99">
        <v>672</v>
      </c>
      <c r="F99">
        <v>632</v>
      </c>
      <c r="G99">
        <v>611</v>
      </c>
      <c r="H99">
        <v>620</v>
      </c>
      <c r="I99">
        <v>633</v>
      </c>
      <c r="J99">
        <v>653</v>
      </c>
      <c r="K99">
        <v>659</v>
      </c>
      <c r="L99">
        <v>665</v>
      </c>
      <c r="M99">
        <v>671</v>
      </c>
      <c r="N99">
        <v>677</v>
      </c>
      <c r="O99" s="107">
        <f t="shared" si="20"/>
        <v>652.25</v>
      </c>
      <c r="P99" s="107">
        <f t="shared" si="21"/>
        <v>1.1666666666666288</v>
      </c>
      <c r="Q99" s="111">
        <f t="shared" si="22"/>
        <v>1.7918853193395041E-3</v>
      </c>
    </row>
    <row r="100" spans="2:17" x14ac:dyDescent="0.2">
      <c r="B100" t="s">
        <v>230</v>
      </c>
      <c r="C100">
        <v>561</v>
      </c>
      <c r="D100">
        <v>574</v>
      </c>
      <c r="E100">
        <v>593</v>
      </c>
      <c r="F100">
        <v>589</v>
      </c>
      <c r="G100">
        <v>589</v>
      </c>
      <c r="H100">
        <v>589</v>
      </c>
      <c r="I100">
        <v>589</v>
      </c>
      <c r="J100">
        <v>589</v>
      </c>
      <c r="K100">
        <v>589</v>
      </c>
      <c r="L100">
        <v>589</v>
      </c>
      <c r="M100">
        <v>589</v>
      </c>
      <c r="N100">
        <v>623</v>
      </c>
      <c r="O100" s="107">
        <f t="shared" si="20"/>
        <v>588.58333333333337</v>
      </c>
      <c r="P100" s="107">
        <f t="shared" si="21"/>
        <v>-63.666666666666629</v>
      </c>
      <c r="Q100" s="111">
        <f t="shared" si="22"/>
        <v>-9.7610834291554816E-2</v>
      </c>
    </row>
    <row r="101" spans="2:17" x14ac:dyDescent="0.2">
      <c r="B101" t="s">
        <v>229</v>
      </c>
      <c r="C101">
        <v>585</v>
      </c>
      <c r="D101">
        <v>542</v>
      </c>
      <c r="E101">
        <v>535</v>
      </c>
      <c r="F101">
        <v>545</v>
      </c>
      <c r="G101">
        <v>547</v>
      </c>
      <c r="H101">
        <v>584</v>
      </c>
      <c r="I101">
        <v>608</v>
      </c>
      <c r="J101">
        <v>604</v>
      </c>
      <c r="K101">
        <v>592</v>
      </c>
      <c r="L101">
        <v>599</v>
      </c>
      <c r="M101">
        <v>628</v>
      </c>
      <c r="N101">
        <v>595</v>
      </c>
      <c r="O101" s="107">
        <f t="shared" si="20"/>
        <v>580.33333333333337</v>
      </c>
      <c r="P101" s="107">
        <f t="shared" si="21"/>
        <v>-8.25</v>
      </c>
      <c r="Q101" s="111">
        <f t="shared" si="22"/>
        <v>-1.4016706781820756E-2</v>
      </c>
    </row>
    <row r="102" spans="2:17" x14ac:dyDescent="0.2">
      <c r="B102" t="s">
        <v>234</v>
      </c>
      <c r="C102">
        <v>601</v>
      </c>
      <c r="D102">
        <v>626</v>
      </c>
      <c r="E102">
        <v>662</v>
      </c>
      <c r="F102">
        <v>646</v>
      </c>
      <c r="G102">
        <v>635</v>
      </c>
      <c r="H102">
        <v>634</v>
      </c>
      <c r="I102">
        <v>628</v>
      </c>
      <c r="J102">
        <v>656</v>
      </c>
      <c r="K102">
        <v>666</v>
      </c>
      <c r="L102">
        <v>657</v>
      </c>
      <c r="M102">
        <v>576</v>
      </c>
      <c r="N102">
        <v>650</v>
      </c>
      <c r="O102" s="107">
        <f t="shared" si="20"/>
        <v>636.41666666666663</v>
      </c>
      <c r="P102" s="107">
        <f t="shared" si="21"/>
        <v>56.083333333333258</v>
      </c>
      <c r="Q102" s="111">
        <f t="shared" si="22"/>
        <v>9.6639862148190564E-2</v>
      </c>
    </row>
    <row r="103" spans="2:17" x14ac:dyDescent="0.2">
      <c r="B103" t="s">
        <v>238</v>
      </c>
      <c r="C103">
        <v>648</v>
      </c>
      <c r="D103">
        <v>660</v>
      </c>
      <c r="E103">
        <v>652</v>
      </c>
      <c r="F103">
        <v>651</v>
      </c>
      <c r="G103">
        <v>646</v>
      </c>
      <c r="H103">
        <v>659</v>
      </c>
      <c r="I103">
        <v>646</v>
      </c>
      <c r="J103">
        <v>702</v>
      </c>
      <c r="K103">
        <v>699</v>
      </c>
      <c r="L103">
        <v>703</v>
      </c>
      <c r="M103">
        <v>711</v>
      </c>
      <c r="N103">
        <v>718</v>
      </c>
      <c r="O103" s="107">
        <f t="shared" si="20"/>
        <v>674.58333333333337</v>
      </c>
      <c r="P103" s="107">
        <f t="shared" si="21"/>
        <v>38.166666666666742</v>
      </c>
      <c r="Q103" s="111">
        <f t="shared" si="22"/>
        <v>5.99711928767842E-2</v>
      </c>
    </row>
    <row r="104" spans="2:17" x14ac:dyDescent="0.2">
      <c r="B104" t="s">
        <v>239</v>
      </c>
      <c r="C104">
        <v>731</v>
      </c>
      <c r="D104">
        <v>726</v>
      </c>
      <c r="E104">
        <v>720</v>
      </c>
      <c r="F104">
        <v>696</v>
      </c>
      <c r="G104">
        <v>731</v>
      </c>
      <c r="H104">
        <v>721</v>
      </c>
      <c r="I104">
        <v>713</v>
      </c>
      <c r="J104">
        <v>701</v>
      </c>
      <c r="K104">
        <v>691</v>
      </c>
      <c r="L104">
        <v>789</v>
      </c>
      <c r="M104">
        <v>764</v>
      </c>
      <c r="N104">
        <v>691</v>
      </c>
      <c r="O104" s="107">
        <f t="shared" si="20"/>
        <v>722.83333333333337</v>
      </c>
      <c r="P104" s="107">
        <f t="shared" si="21"/>
        <v>48.25</v>
      </c>
      <c r="Q104" s="111">
        <f t="shared" si="22"/>
        <v>7.1525633106856085E-2</v>
      </c>
    </row>
    <row r="105" spans="2:17" x14ac:dyDescent="0.2">
      <c r="B105" t="s">
        <v>240</v>
      </c>
      <c r="C105">
        <v>684</v>
      </c>
      <c r="D105">
        <v>691</v>
      </c>
      <c r="E105">
        <v>716</v>
      </c>
      <c r="F105">
        <v>676</v>
      </c>
      <c r="G105">
        <v>671</v>
      </c>
      <c r="H105">
        <v>676</v>
      </c>
      <c r="I105">
        <v>674</v>
      </c>
      <c r="J105">
        <v>667</v>
      </c>
      <c r="K105">
        <v>669</v>
      </c>
      <c r="L105">
        <v>676</v>
      </c>
      <c r="M105">
        <v>714</v>
      </c>
      <c r="N105">
        <v>718</v>
      </c>
      <c r="O105" s="107">
        <f t="shared" si="20"/>
        <v>686</v>
      </c>
      <c r="P105" s="107">
        <f t="shared" si="21"/>
        <v>-36.833333333333371</v>
      </c>
      <c r="Q105" s="111">
        <f t="shared" ref="Q105:Q117" si="23">SUM(P105/O104)</f>
        <v>-5.095688263776809E-2</v>
      </c>
    </row>
    <row r="106" spans="2:17" x14ac:dyDescent="0.2">
      <c r="B106" t="s">
        <v>241</v>
      </c>
      <c r="C106">
        <v>681</v>
      </c>
      <c r="D106">
        <v>689</v>
      </c>
      <c r="E106">
        <v>680</v>
      </c>
      <c r="F106">
        <v>661</v>
      </c>
      <c r="G106">
        <v>661</v>
      </c>
      <c r="H106">
        <v>678</v>
      </c>
      <c r="I106">
        <v>672</v>
      </c>
      <c r="J106">
        <v>687</v>
      </c>
      <c r="K106">
        <v>677</v>
      </c>
      <c r="L106">
        <v>674</v>
      </c>
      <c r="M106">
        <v>674</v>
      </c>
      <c r="N106">
        <v>691</v>
      </c>
      <c r="O106" s="107">
        <f t="shared" si="20"/>
        <v>677.08333333333337</v>
      </c>
      <c r="P106" s="107">
        <f t="shared" ref="P106:P117" si="24">SUM(O106-O105)</f>
        <v>-8.9166666666666288</v>
      </c>
      <c r="Q106" s="111">
        <f t="shared" si="23"/>
        <v>-1.2998056365403248E-2</v>
      </c>
    </row>
    <row r="107" spans="2:17" x14ac:dyDescent="0.2">
      <c r="B107" t="s">
        <v>266</v>
      </c>
      <c r="C107">
        <v>685</v>
      </c>
      <c r="D107">
        <v>703</v>
      </c>
      <c r="E107">
        <v>697</v>
      </c>
      <c r="F107">
        <v>714</v>
      </c>
      <c r="G107">
        <v>713</v>
      </c>
      <c r="H107">
        <v>746</v>
      </c>
      <c r="I107">
        <v>722</v>
      </c>
      <c r="J107">
        <v>724</v>
      </c>
      <c r="K107">
        <v>728</v>
      </c>
      <c r="L107">
        <v>696</v>
      </c>
      <c r="M107">
        <v>695</v>
      </c>
      <c r="N107">
        <v>676</v>
      </c>
      <c r="O107" s="107">
        <f t="shared" si="20"/>
        <v>708.25</v>
      </c>
      <c r="P107" s="107">
        <f t="shared" si="24"/>
        <v>31.166666666666629</v>
      </c>
      <c r="Q107" s="111">
        <f t="shared" si="23"/>
        <v>4.6030769230769174E-2</v>
      </c>
    </row>
    <row r="108" spans="2:17" x14ac:dyDescent="0.2">
      <c r="B108" t="s">
        <v>285</v>
      </c>
      <c r="C108">
        <v>691</v>
      </c>
      <c r="D108">
        <v>666</v>
      </c>
      <c r="E108">
        <v>624</v>
      </c>
      <c r="F108">
        <v>670</v>
      </c>
      <c r="G108">
        <v>672</v>
      </c>
      <c r="H108">
        <v>675</v>
      </c>
      <c r="I108">
        <v>651</v>
      </c>
      <c r="J108">
        <v>642</v>
      </c>
      <c r="K108">
        <v>588</v>
      </c>
      <c r="L108">
        <v>663</v>
      </c>
      <c r="M108">
        <v>660</v>
      </c>
      <c r="N108">
        <v>646</v>
      </c>
      <c r="O108" s="107">
        <f t="shared" si="20"/>
        <v>654</v>
      </c>
      <c r="P108" s="107">
        <f t="shared" si="24"/>
        <v>-54.25</v>
      </c>
      <c r="Q108" s="111">
        <f t="shared" si="23"/>
        <v>-7.6597246734909988E-2</v>
      </c>
    </row>
    <row r="109" spans="2:17" x14ac:dyDescent="0.2">
      <c r="B109" t="s">
        <v>354</v>
      </c>
      <c r="C109">
        <v>652</v>
      </c>
      <c r="D109">
        <v>655</v>
      </c>
      <c r="E109">
        <v>667</v>
      </c>
      <c r="F109">
        <v>658</v>
      </c>
      <c r="G109">
        <v>671</v>
      </c>
      <c r="H109">
        <v>681</v>
      </c>
      <c r="I109">
        <v>677</v>
      </c>
      <c r="J109">
        <v>673</v>
      </c>
      <c r="K109">
        <v>663</v>
      </c>
      <c r="L109">
        <v>656</v>
      </c>
      <c r="M109">
        <v>662</v>
      </c>
      <c r="N109">
        <v>679</v>
      </c>
      <c r="O109" s="107">
        <f t="shared" si="20"/>
        <v>666.16666666666663</v>
      </c>
      <c r="P109" s="107">
        <f t="shared" si="24"/>
        <v>12.166666666666629</v>
      </c>
      <c r="Q109" s="111">
        <f t="shared" si="23"/>
        <v>1.8603465851172216E-2</v>
      </c>
    </row>
    <row r="110" spans="2:17" x14ac:dyDescent="0.2">
      <c r="B110" t="s">
        <v>381</v>
      </c>
      <c r="C110">
        <v>674</v>
      </c>
      <c r="D110">
        <v>675</v>
      </c>
      <c r="E110">
        <v>693</v>
      </c>
      <c r="F110">
        <v>708</v>
      </c>
      <c r="G110">
        <v>741</v>
      </c>
      <c r="H110">
        <v>687</v>
      </c>
      <c r="I110">
        <v>729</v>
      </c>
      <c r="J110">
        <v>690</v>
      </c>
      <c r="K110">
        <v>701</v>
      </c>
      <c r="L110">
        <v>693</v>
      </c>
      <c r="M110">
        <v>738</v>
      </c>
      <c r="N110">
        <v>729</v>
      </c>
      <c r="O110" s="107">
        <f t="shared" si="20"/>
        <v>704.83333333333337</v>
      </c>
      <c r="P110" s="107">
        <f t="shared" si="24"/>
        <v>38.666666666666742</v>
      </c>
      <c r="Q110" s="111">
        <f t="shared" si="23"/>
        <v>5.804353264948723E-2</v>
      </c>
    </row>
    <row r="111" spans="2:17" x14ac:dyDescent="0.2">
      <c r="B111" t="s">
        <v>435</v>
      </c>
      <c r="C111">
        <v>722</v>
      </c>
      <c r="D111">
        <v>713</v>
      </c>
      <c r="E111">
        <v>717</v>
      </c>
      <c r="F111">
        <v>696</v>
      </c>
      <c r="G111">
        <v>673</v>
      </c>
      <c r="H111">
        <v>688</v>
      </c>
      <c r="I111">
        <v>676</v>
      </c>
      <c r="J111">
        <v>681</v>
      </c>
      <c r="K111">
        <v>670</v>
      </c>
      <c r="L111">
        <v>672</v>
      </c>
      <c r="M111">
        <v>697</v>
      </c>
      <c r="N111">
        <v>744</v>
      </c>
      <c r="O111" s="107">
        <f t="shared" si="20"/>
        <v>695.75</v>
      </c>
      <c r="P111" s="107">
        <f t="shared" si="24"/>
        <v>-9.0833333333333712</v>
      </c>
      <c r="Q111" s="111">
        <f t="shared" si="23"/>
        <v>-1.2887207377630699E-2</v>
      </c>
    </row>
    <row r="112" spans="2:17" x14ac:dyDescent="0.2">
      <c r="B112" t="s">
        <v>451</v>
      </c>
      <c r="C112">
        <v>681</v>
      </c>
      <c r="D112">
        <v>668</v>
      </c>
      <c r="E112">
        <v>662</v>
      </c>
      <c r="F112">
        <v>638</v>
      </c>
      <c r="G112">
        <v>665</v>
      </c>
      <c r="H112">
        <v>654</v>
      </c>
      <c r="I112">
        <v>640</v>
      </c>
      <c r="J112">
        <v>628</v>
      </c>
      <c r="K112">
        <v>699</v>
      </c>
      <c r="L112">
        <v>611</v>
      </c>
      <c r="M112">
        <v>605</v>
      </c>
      <c r="N112">
        <v>589</v>
      </c>
      <c r="O112" s="107">
        <f t="shared" si="20"/>
        <v>645</v>
      </c>
      <c r="P112" s="107">
        <f t="shared" si="24"/>
        <v>-50.75</v>
      </c>
      <c r="Q112" s="111">
        <f t="shared" si="23"/>
        <v>-7.294286740927057E-2</v>
      </c>
    </row>
    <row r="113" spans="1:17" x14ac:dyDescent="0.2">
      <c r="B113" t="s">
        <v>452</v>
      </c>
      <c r="C113">
        <v>578</v>
      </c>
      <c r="D113">
        <v>579</v>
      </c>
      <c r="E113">
        <v>577</v>
      </c>
      <c r="F113">
        <v>568</v>
      </c>
      <c r="G113">
        <v>572</v>
      </c>
      <c r="H113">
        <v>550</v>
      </c>
      <c r="I113">
        <v>554</v>
      </c>
      <c r="J113">
        <v>550</v>
      </c>
      <c r="K113">
        <v>559</v>
      </c>
      <c r="L113">
        <v>576</v>
      </c>
      <c r="M113">
        <v>548</v>
      </c>
      <c r="N113">
        <v>537</v>
      </c>
      <c r="O113" s="107">
        <f t="shared" si="20"/>
        <v>562.33333333333337</v>
      </c>
      <c r="P113" s="107">
        <f t="shared" si="24"/>
        <v>-82.666666666666629</v>
      </c>
      <c r="Q113" s="111">
        <f t="shared" si="23"/>
        <v>-0.12816537467700254</v>
      </c>
    </row>
    <row r="114" spans="1:17" x14ac:dyDescent="0.2">
      <c r="B114" t="s">
        <v>674</v>
      </c>
      <c r="C114">
        <v>512</v>
      </c>
      <c r="D114">
        <v>549</v>
      </c>
      <c r="E114">
        <v>569</v>
      </c>
      <c r="F114">
        <v>581</v>
      </c>
      <c r="G114">
        <v>582</v>
      </c>
      <c r="H114">
        <v>541</v>
      </c>
      <c r="I114">
        <v>539</v>
      </c>
      <c r="J114">
        <v>533</v>
      </c>
      <c r="K114">
        <v>554</v>
      </c>
      <c r="L114">
        <v>553</v>
      </c>
      <c r="M114">
        <v>556</v>
      </c>
      <c r="N114">
        <v>563</v>
      </c>
      <c r="O114" s="107">
        <f t="shared" si="20"/>
        <v>552.66666666666663</v>
      </c>
      <c r="P114" s="107">
        <f t="shared" si="24"/>
        <v>-9.6666666666667425</v>
      </c>
      <c r="Q114" s="111">
        <f t="shared" si="23"/>
        <v>-1.7190278601067116E-2</v>
      </c>
    </row>
    <row r="115" spans="1:17" x14ac:dyDescent="0.2">
      <c r="B115" t="s">
        <v>675</v>
      </c>
      <c r="C115">
        <v>553</v>
      </c>
      <c r="D115">
        <v>524</v>
      </c>
      <c r="E115">
        <v>513</v>
      </c>
      <c r="F115">
        <v>531</v>
      </c>
      <c r="G115">
        <v>527</v>
      </c>
      <c r="H115">
        <v>486</v>
      </c>
      <c r="I115">
        <v>464</v>
      </c>
      <c r="J115">
        <v>475</v>
      </c>
      <c r="K115">
        <v>460</v>
      </c>
      <c r="L115">
        <v>455</v>
      </c>
      <c r="M115">
        <v>442</v>
      </c>
      <c r="N115">
        <v>442</v>
      </c>
      <c r="O115" s="107">
        <f t="shared" si="20"/>
        <v>489.33333333333331</v>
      </c>
      <c r="P115" s="107">
        <f t="shared" si="24"/>
        <v>-63.333333333333314</v>
      </c>
      <c r="Q115" s="111">
        <f t="shared" si="23"/>
        <v>-0.11459589867310009</v>
      </c>
    </row>
    <row r="116" spans="1:17" x14ac:dyDescent="0.2">
      <c r="B116" t="s">
        <v>729</v>
      </c>
      <c r="C116">
        <v>459</v>
      </c>
      <c r="D116">
        <v>475</v>
      </c>
      <c r="E116">
        <v>483</v>
      </c>
      <c r="F116">
        <v>443</v>
      </c>
      <c r="G116">
        <v>413</v>
      </c>
      <c r="H116">
        <v>445</v>
      </c>
      <c r="I116">
        <v>443</v>
      </c>
      <c r="J116">
        <v>465</v>
      </c>
      <c r="K116">
        <v>466</v>
      </c>
      <c r="L116">
        <v>452</v>
      </c>
      <c r="M116">
        <v>465</v>
      </c>
      <c r="N116">
        <v>465</v>
      </c>
      <c r="O116" s="107">
        <f t="shared" si="20"/>
        <v>456.16666666666669</v>
      </c>
      <c r="P116" s="107">
        <f t="shared" si="24"/>
        <v>-33.166666666666629</v>
      </c>
      <c r="Q116" s="111">
        <f t="shared" si="23"/>
        <v>-6.7779291553133433E-2</v>
      </c>
    </row>
    <row r="117" spans="1:17" x14ac:dyDescent="0.2">
      <c r="B117" s="525" t="s">
        <v>775</v>
      </c>
      <c r="C117">
        <v>446</v>
      </c>
      <c r="D117">
        <v>446</v>
      </c>
      <c r="E117">
        <v>455</v>
      </c>
      <c r="F117">
        <v>438</v>
      </c>
      <c r="G117">
        <v>434</v>
      </c>
      <c r="H117">
        <v>439</v>
      </c>
      <c r="I117">
        <v>453</v>
      </c>
      <c r="J117">
        <v>443</v>
      </c>
      <c r="K117">
        <v>431</v>
      </c>
      <c r="L117">
        <v>431</v>
      </c>
      <c r="M117">
        <v>450</v>
      </c>
      <c r="N117">
        <v>452</v>
      </c>
      <c r="O117" s="107">
        <f t="shared" si="20"/>
        <v>443.16666666666669</v>
      </c>
      <c r="P117" s="107">
        <f t="shared" si="24"/>
        <v>-13</v>
      </c>
      <c r="Q117" s="111">
        <f t="shared" si="23"/>
        <v>-2.8498355864084762E-2</v>
      </c>
    </row>
    <row r="118" spans="1:17" x14ac:dyDescent="0.2">
      <c r="B118" s="525" t="s">
        <v>800</v>
      </c>
      <c r="C118">
        <v>457</v>
      </c>
      <c r="O118" s="107"/>
      <c r="P118" s="107"/>
      <c r="Q118" s="111"/>
    </row>
    <row r="119" spans="1:17" ht="25.5" x14ac:dyDescent="0.2">
      <c r="A119" s="109" t="s">
        <v>360</v>
      </c>
      <c r="B119" s="110" t="s">
        <v>335</v>
      </c>
      <c r="C119" s="112" t="s">
        <v>336</v>
      </c>
      <c r="D119" s="112" t="s">
        <v>337</v>
      </c>
      <c r="E119" s="112" t="s">
        <v>338</v>
      </c>
      <c r="F119" s="112" t="s">
        <v>339</v>
      </c>
      <c r="G119" s="112" t="s">
        <v>340</v>
      </c>
      <c r="H119" s="112" t="s">
        <v>341</v>
      </c>
      <c r="I119" s="112" t="s">
        <v>342</v>
      </c>
      <c r="J119" s="112" t="s">
        <v>343</v>
      </c>
      <c r="K119" s="112" t="s">
        <v>344</v>
      </c>
      <c r="L119" s="112" t="s">
        <v>345</v>
      </c>
      <c r="M119" s="112" t="s">
        <v>346</v>
      </c>
      <c r="N119" s="112" t="s">
        <v>347</v>
      </c>
    </row>
    <row r="120" spans="1:17" x14ac:dyDescent="0.2">
      <c r="B120" t="s">
        <v>351</v>
      </c>
      <c r="C120">
        <v>227</v>
      </c>
      <c r="D120">
        <v>238</v>
      </c>
      <c r="E120">
        <v>241</v>
      </c>
      <c r="F120">
        <v>237</v>
      </c>
      <c r="G120">
        <v>237</v>
      </c>
      <c r="H120">
        <v>245</v>
      </c>
      <c r="I120">
        <v>239</v>
      </c>
      <c r="J120">
        <v>232</v>
      </c>
      <c r="K120">
        <v>228</v>
      </c>
      <c r="L120">
        <v>226</v>
      </c>
      <c r="M120">
        <v>226</v>
      </c>
      <c r="N120">
        <v>238</v>
      </c>
      <c r="O120" s="107">
        <f t="shared" ref="O120:O140" si="25">SUM(C120:N120)/12</f>
        <v>234.5</v>
      </c>
      <c r="P120" s="107"/>
    </row>
    <row r="121" spans="1:17" x14ac:dyDescent="0.2">
      <c r="B121" t="s">
        <v>352</v>
      </c>
      <c r="C121">
        <v>227</v>
      </c>
      <c r="D121">
        <v>234</v>
      </c>
      <c r="E121">
        <v>235</v>
      </c>
      <c r="F121">
        <v>220</v>
      </c>
      <c r="G121">
        <v>231</v>
      </c>
      <c r="H121">
        <v>222</v>
      </c>
      <c r="I121">
        <v>209</v>
      </c>
      <c r="J121">
        <v>216</v>
      </c>
      <c r="K121">
        <v>219</v>
      </c>
      <c r="L121">
        <v>212</v>
      </c>
      <c r="M121">
        <v>211</v>
      </c>
      <c r="N121">
        <v>211</v>
      </c>
      <c r="O121" s="107">
        <f t="shared" si="25"/>
        <v>220.58333333333334</v>
      </c>
      <c r="P121" s="107">
        <f t="shared" ref="P121:P128" si="26">SUM(O121-O120)</f>
        <v>-13.916666666666657</v>
      </c>
      <c r="Q121" s="111">
        <f t="shared" ref="Q121:Q127" si="27">SUM(P121/O120)</f>
        <v>-5.9346126510305575E-2</v>
      </c>
    </row>
    <row r="122" spans="1:17" x14ac:dyDescent="0.2">
      <c r="B122" t="s">
        <v>353</v>
      </c>
      <c r="C122">
        <v>210</v>
      </c>
      <c r="D122">
        <v>212</v>
      </c>
      <c r="E122">
        <v>205</v>
      </c>
      <c r="F122">
        <v>205</v>
      </c>
      <c r="G122">
        <v>220</v>
      </c>
      <c r="H122">
        <v>221</v>
      </c>
      <c r="I122">
        <v>223</v>
      </c>
      <c r="J122">
        <v>227</v>
      </c>
      <c r="K122">
        <v>230</v>
      </c>
      <c r="L122">
        <v>204</v>
      </c>
      <c r="M122">
        <v>178</v>
      </c>
      <c r="N122">
        <v>152</v>
      </c>
      <c r="O122" s="107">
        <f t="shared" si="25"/>
        <v>207.25</v>
      </c>
      <c r="P122" s="107">
        <f t="shared" si="26"/>
        <v>-13.333333333333343</v>
      </c>
      <c r="Q122" s="111">
        <f t="shared" si="27"/>
        <v>-6.0445787684170797E-2</v>
      </c>
    </row>
    <row r="123" spans="1:17" x14ac:dyDescent="0.2">
      <c r="B123" t="s">
        <v>230</v>
      </c>
      <c r="C123">
        <v>257</v>
      </c>
      <c r="D123">
        <v>269</v>
      </c>
      <c r="E123">
        <v>265</v>
      </c>
      <c r="F123">
        <v>244</v>
      </c>
      <c r="G123">
        <v>244</v>
      </c>
      <c r="H123">
        <v>244</v>
      </c>
      <c r="I123">
        <v>244</v>
      </c>
      <c r="J123">
        <v>244</v>
      </c>
      <c r="K123">
        <v>244</v>
      </c>
      <c r="L123">
        <v>244</v>
      </c>
      <c r="M123">
        <v>244</v>
      </c>
      <c r="N123">
        <v>244</v>
      </c>
      <c r="O123" s="107">
        <f t="shared" si="25"/>
        <v>248.91666666666666</v>
      </c>
      <c r="P123" s="107">
        <f t="shared" si="26"/>
        <v>41.666666666666657</v>
      </c>
      <c r="Q123" s="111">
        <f t="shared" si="27"/>
        <v>0.20104543626859667</v>
      </c>
    </row>
    <row r="124" spans="1:17" x14ac:dyDescent="0.2">
      <c r="B124" t="s">
        <v>229</v>
      </c>
      <c r="C124">
        <v>239</v>
      </c>
      <c r="D124">
        <v>224</v>
      </c>
      <c r="E124">
        <v>226</v>
      </c>
      <c r="F124">
        <v>219</v>
      </c>
      <c r="G124">
        <v>227</v>
      </c>
      <c r="H124">
        <v>220</v>
      </c>
      <c r="I124">
        <v>214</v>
      </c>
      <c r="J124">
        <v>214</v>
      </c>
      <c r="K124">
        <v>205</v>
      </c>
      <c r="L124">
        <v>216</v>
      </c>
      <c r="M124">
        <v>210</v>
      </c>
      <c r="N124">
        <v>213</v>
      </c>
      <c r="O124" s="107">
        <f t="shared" si="25"/>
        <v>218.91666666666666</v>
      </c>
      <c r="P124" s="107">
        <f t="shared" si="26"/>
        <v>-30</v>
      </c>
      <c r="Q124" s="111">
        <f t="shared" si="27"/>
        <v>-0.12052226314027453</v>
      </c>
    </row>
    <row r="125" spans="1:17" x14ac:dyDescent="0.2">
      <c r="B125" t="s">
        <v>234</v>
      </c>
      <c r="C125">
        <v>214</v>
      </c>
      <c r="D125">
        <v>211</v>
      </c>
      <c r="E125">
        <v>207</v>
      </c>
      <c r="F125">
        <v>229</v>
      </c>
      <c r="G125">
        <v>243</v>
      </c>
      <c r="H125">
        <v>240</v>
      </c>
      <c r="I125">
        <v>243</v>
      </c>
      <c r="J125">
        <v>245</v>
      </c>
      <c r="K125">
        <v>245</v>
      </c>
      <c r="L125">
        <v>259</v>
      </c>
      <c r="M125">
        <v>261</v>
      </c>
      <c r="N125">
        <v>263</v>
      </c>
      <c r="O125" s="107">
        <f t="shared" si="25"/>
        <v>238.33333333333334</v>
      </c>
      <c r="P125" s="107">
        <f t="shared" si="26"/>
        <v>19.416666666666686</v>
      </c>
      <c r="Q125" s="111">
        <f t="shared" si="27"/>
        <v>8.8694328130947936E-2</v>
      </c>
    </row>
    <row r="126" spans="1:17" x14ac:dyDescent="0.2">
      <c r="B126" t="s">
        <v>238</v>
      </c>
      <c r="C126">
        <v>264</v>
      </c>
      <c r="D126">
        <v>263</v>
      </c>
      <c r="E126">
        <v>264</v>
      </c>
      <c r="F126">
        <v>259</v>
      </c>
      <c r="G126">
        <v>262</v>
      </c>
      <c r="H126">
        <v>259</v>
      </c>
      <c r="I126">
        <v>244</v>
      </c>
      <c r="J126">
        <v>246</v>
      </c>
      <c r="K126">
        <v>253</v>
      </c>
      <c r="L126">
        <v>249</v>
      </c>
      <c r="M126">
        <v>248</v>
      </c>
      <c r="N126">
        <v>256</v>
      </c>
      <c r="O126" s="107">
        <f t="shared" si="25"/>
        <v>255.58333333333334</v>
      </c>
      <c r="P126" s="107">
        <f t="shared" si="26"/>
        <v>17.25</v>
      </c>
      <c r="Q126" s="111">
        <f t="shared" si="27"/>
        <v>7.237762237762238E-2</v>
      </c>
    </row>
    <row r="127" spans="1:17" x14ac:dyDescent="0.2">
      <c r="B127" t="s">
        <v>239</v>
      </c>
      <c r="C127">
        <v>259</v>
      </c>
      <c r="D127">
        <v>269</v>
      </c>
      <c r="E127">
        <v>262</v>
      </c>
      <c r="F127">
        <v>281</v>
      </c>
      <c r="G127">
        <v>292</v>
      </c>
      <c r="H127">
        <v>287</v>
      </c>
      <c r="I127">
        <v>285</v>
      </c>
      <c r="J127">
        <v>271</v>
      </c>
      <c r="K127">
        <v>263</v>
      </c>
      <c r="L127">
        <v>304</v>
      </c>
      <c r="M127">
        <v>301</v>
      </c>
      <c r="N127">
        <v>256</v>
      </c>
      <c r="O127" s="107">
        <f t="shared" si="25"/>
        <v>277.5</v>
      </c>
      <c r="P127" s="107">
        <f t="shared" si="26"/>
        <v>21.916666666666657</v>
      </c>
      <c r="Q127" s="111">
        <f t="shared" si="27"/>
        <v>8.5751548744701617E-2</v>
      </c>
    </row>
    <row r="128" spans="1:17" x14ac:dyDescent="0.2">
      <c r="B128" t="s">
        <v>240</v>
      </c>
      <c r="C128">
        <v>263</v>
      </c>
      <c r="D128">
        <v>269</v>
      </c>
      <c r="E128">
        <v>260</v>
      </c>
      <c r="F128">
        <v>254</v>
      </c>
      <c r="G128">
        <v>247</v>
      </c>
      <c r="H128">
        <v>251</v>
      </c>
      <c r="I128">
        <v>244</v>
      </c>
      <c r="J128">
        <v>235</v>
      </c>
      <c r="K128">
        <v>233</v>
      </c>
      <c r="L128">
        <v>251</v>
      </c>
      <c r="M128">
        <v>278</v>
      </c>
      <c r="N128">
        <v>279</v>
      </c>
      <c r="O128" s="107">
        <f t="shared" si="25"/>
        <v>255.33333333333334</v>
      </c>
      <c r="P128" s="107">
        <f t="shared" si="26"/>
        <v>-22.166666666666657</v>
      </c>
      <c r="Q128" s="111">
        <f t="shared" ref="Q128:Q140" si="28">SUM(P128/O127)</f>
        <v>-7.987987987987985E-2</v>
      </c>
    </row>
    <row r="129" spans="1:17" x14ac:dyDescent="0.2">
      <c r="B129" t="s">
        <v>241</v>
      </c>
      <c r="C129">
        <v>271</v>
      </c>
      <c r="D129">
        <v>264</v>
      </c>
      <c r="E129">
        <v>264</v>
      </c>
      <c r="F129">
        <v>265</v>
      </c>
      <c r="G129">
        <v>260</v>
      </c>
      <c r="H129">
        <v>261</v>
      </c>
      <c r="I129">
        <v>266</v>
      </c>
      <c r="J129">
        <v>257</v>
      </c>
      <c r="K129">
        <v>261</v>
      </c>
      <c r="L129">
        <v>270</v>
      </c>
      <c r="M129">
        <v>273</v>
      </c>
      <c r="N129">
        <v>267</v>
      </c>
      <c r="O129" s="107">
        <f t="shared" si="25"/>
        <v>264.91666666666669</v>
      </c>
      <c r="P129" s="107">
        <f t="shared" ref="P129:P140" si="29">SUM(O129-O128)</f>
        <v>9.5833333333333428</v>
      </c>
      <c r="Q129" s="111">
        <f t="shared" si="28"/>
        <v>3.7532637075718051E-2</v>
      </c>
    </row>
    <row r="130" spans="1:17" x14ac:dyDescent="0.2">
      <c r="B130" t="s">
        <v>266</v>
      </c>
      <c r="C130">
        <v>267</v>
      </c>
      <c r="D130">
        <v>266</v>
      </c>
      <c r="E130">
        <v>268</v>
      </c>
      <c r="F130">
        <v>273</v>
      </c>
      <c r="G130">
        <v>266</v>
      </c>
      <c r="H130">
        <v>255</v>
      </c>
      <c r="I130">
        <v>256</v>
      </c>
      <c r="J130">
        <v>248</v>
      </c>
      <c r="K130">
        <v>253</v>
      </c>
      <c r="L130">
        <v>255</v>
      </c>
      <c r="M130">
        <v>251</v>
      </c>
      <c r="N130">
        <v>255</v>
      </c>
      <c r="O130" s="107">
        <f t="shared" si="25"/>
        <v>259.41666666666669</v>
      </c>
      <c r="P130" s="107">
        <f t="shared" si="29"/>
        <v>-5.5</v>
      </c>
      <c r="Q130" s="111">
        <f t="shared" si="28"/>
        <v>-2.0761245674740483E-2</v>
      </c>
    </row>
    <row r="131" spans="1:17" x14ac:dyDescent="0.2">
      <c r="B131" t="s">
        <v>285</v>
      </c>
      <c r="C131">
        <v>260</v>
      </c>
      <c r="D131">
        <v>250</v>
      </c>
      <c r="E131">
        <v>251</v>
      </c>
      <c r="F131">
        <v>257</v>
      </c>
      <c r="G131">
        <v>258</v>
      </c>
      <c r="H131">
        <v>252</v>
      </c>
      <c r="I131">
        <v>247</v>
      </c>
      <c r="J131">
        <v>244</v>
      </c>
      <c r="K131">
        <v>299</v>
      </c>
      <c r="L131">
        <v>242</v>
      </c>
      <c r="M131">
        <v>246</v>
      </c>
      <c r="N131">
        <v>247</v>
      </c>
      <c r="O131" s="107">
        <f t="shared" si="25"/>
        <v>254.41666666666666</v>
      </c>
      <c r="P131" s="107">
        <f t="shared" si="29"/>
        <v>-5.0000000000000284</v>
      </c>
      <c r="Q131" s="111">
        <f t="shared" si="28"/>
        <v>-1.9274012206874507E-2</v>
      </c>
    </row>
    <row r="132" spans="1:17" x14ac:dyDescent="0.2">
      <c r="B132" t="s">
        <v>354</v>
      </c>
      <c r="C132">
        <v>247</v>
      </c>
      <c r="D132">
        <v>250</v>
      </c>
      <c r="E132">
        <v>259</v>
      </c>
      <c r="F132">
        <v>259</v>
      </c>
      <c r="G132">
        <v>260</v>
      </c>
      <c r="H132">
        <v>269</v>
      </c>
      <c r="I132">
        <v>253</v>
      </c>
      <c r="J132">
        <v>246</v>
      </c>
      <c r="K132">
        <v>259</v>
      </c>
      <c r="L132">
        <v>253</v>
      </c>
      <c r="M132">
        <v>236</v>
      </c>
      <c r="N132">
        <v>227</v>
      </c>
      <c r="O132" s="107">
        <f t="shared" si="25"/>
        <v>251.5</v>
      </c>
      <c r="P132" s="107">
        <f t="shared" si="29"/>
        <v>-2.9166666666666572</v>
      </c>
      <c r="Q132" s="111">
        <f t="shared" si="28"/>
        <v>-1.1464133639043526E-2</v>
      </c>
    </row>
    <row r="133" spans="1:17" x14ac:dyDescent="0.2">
      <c r="B133" t="s">
        <v>381</v>
      </c>
      <c r="C133">
        <v>230</v>
      </c>
      <c r="D133">
        <v>228</v>
      </c>
      <c r="E133">
        <v>245</v>
      </c>
      <c r="F133">
        <v>241</v>
      </c>
      <c r="G133">
        <v>241</v>
      </c>
      <c r="H133">
        <v>233</v>
      </c>
      <c r="I133">
        <v>245</v>
      </c>
      <c r="J133">
        <v>265</v>
      </c>
      <c r="K133">
        <v>258</v>
      </c>
      <c r="L133">
        <v>261</v>
      </c>
      <c r="M133">
        <v>241</v>
      </c>
      <c r="N133">
        <v>231</v>
      </c>
      <c r="O133" s="107">
        <f t="shared" si="25"/>
        <v>243.25</v>
      </c>
      <c r="P133" s="107">
        <f t="shared" si="29"/>
        <v>-8.25</v>
      </c>
      <c r="Q133" s="111">
        <f t="shared" si="28"/>
        <v>-3.2803180914512925E-2</v>
      </c>
    </row>
    <row r="134" spans="1:17" x14ac:dyDescent="0.2">
      <c r="B134" t="s">
        <v>435</v>
      </c>
      <c r="C134">
        <v>265</v>
      </c>
      <c r="D134">
        <v>253</v>
      </c>
      <c r="E134">
        <v>234</v>
      </c>
      <c r="F134">
        <v>254</v>
      </c>
      <c r="G134">
        <v>242</v>
      </c>
      <c r="H134">
        <v>256</v>
      </c>
      <c r="I134">
        <v>262</v>
      </c>
      <c r="J134">
        <v>264</v>
      </c>
      <c r="K134">
        <v>253</v>
      </c>
      <c r="L134">
        <v>262</v>
      </c>
      <c r="M134">
        <v>274</v>
      </c>
      <c r="N134">
        <v>288</v>
      </c>
      <c r="O134" s="107">
        <f t="shared" si="25"/>
        <v>258.91666666666669</v>
      </c>
      <c r="P134" s="107">
        <f t="shared" si="29"/>
        <v>15.666666666666686</v>
      </c>
      <c r="Q134" s="111">
        <f t="shared" si="28"/>
        <v>6.4405618362452968E-2</v>
      </c>
    </row>
    <row r="135" spans="1:17" x14ac:dyDescent="0.2">
      <c r="B135" t="s">
        <v>451</v>
      </c>
      <c r="C135">
        <v>270</v>
      </c>
      <c r="D135">
        <v>256</v>
      </c>
      <c r="E135">
        <v>264</v>
      </c>
      <c r="F135">
        <v>262</v>
      </c>
      <c r="G135">
        <v>273</v>
      </c>
      <c r="H135">
        <v>282</v>
      </c>
      <c r="I135">
        <v>278</v>
      </c>
      <c r="J135">
        <v>289</v>
      </c>
      <c r="K135">
        <v>303</v>
      </c>
      <c r="L135">
        <v>332</v>
      </c>
      <c r="M135">
        <v>335</v>
      </c>
      <c r="N135">
        <v>367</v>
      </c>
      <c r="O135" s="107">
        <f t="shared" si="25"/>
        <v>292.58333333333331</v>
      </c>
      <c r="P135" s="107">
        <f t="shared" si="29"/>
        <v>33.666666666666629</v>
      </c>
      <c r="Q135" s="111">
        <f t="shared" si="28"/>
        <v>0.13002896684905038</v>
      </c>
    </row>
    <row r="136" spans="1:17" x14ac:dyDescent="0.2">
      <c r="B136" t="s">
        <v>452</v>
      </c>
      <c r="C136">
        <v>331</v>
      </c>
      <c r="D136">
        <v>343</v>
      </c>
      <c r="E136">
        <v>340</v>
      </c>
      <c r="F136">
        <v>322</v>
      </c>
      <c r="G136">
        <v>332</v>
      </c>
      <c r="H136">
        <v>340</v>
      </c>
      <c r="I136">
        <v>347</v>
      </c>
      <c r="J136">
        <v>325</v>
      </c>
      <c r="K136">
        <v>319</v>
      </c>
      <c r="L136">
        <v>275</v>
      </c>
      <c r="M136">
        <v>268</v>
      </c>
      <c r="N136">
        <v>268</v>
      </c>
      <c r="O136" s="107">
        <f t="shared" si="25"/>
        <v>317.5</v>
      </c>
      <c r="P136" s="107">
        <f t="shared" si="29"/>
        <v>24.916666666666686</v>
      </c>
      <c r="Q136" s="111">
        <f t="shared" si="28"/>
        <v>8.5160922814013176E-2</v>
      </c>
    </row>
    <row r="137" spans="1:17" x14ac:dyDescent="0.2">
      <c r="B137" t="s">
        <v>674</v>
      </c>
      <c r="C137">
        <v>283</v>
      </c>
      <c r="D137">
        <v>280</v>
      </c>
      <c r="E137">
        <v>263</v>
      </c>
      <c r="F137">
        <v>262</v>
      </c>
      <c r="G137">
        <v>269</v>
      </c>
      <c r="H137">
        <v>266</v>
      </c>
      <c r="I137">
        <v>269</v>
      </c>
      <c r="J137">
        <v>261</v>
      </c>
      <c r="K137">
        <v>249</v>
      </c>
      <c r="L137">
        <v>248</v>
      </c>
      <c r="M137">
        <v>241</v>
      </c>
      <c r="N137">
        <v>237</v>
      </c>
      <c r="O137" s="107">
        <f t="shared" si="25"/>
        <v>260.66666666666669</v>
      </c>
      <c r="P137" s="107">
        <f t="shared" si="29"/>
        <v>-56.833333333333314</v>
      </c>
      <c r="Q137" s="111">
        <f t="shared" si="28"/>
        <v>-0.17900262467191594</v>
      </c>
    </row>
    <row r="138" spans="1:17" x14ac:dyDescent="0.2">
      <c r="B138" t="s">
        <v>675</v>
      </c>
      <c r="C138">
        <v>231</v>
      </c>
      <c r="D138">
        <v>219</v>
      </c>
      <c r="E138">
        <v>200</v>
      </c>
      <c r="F138">
        <v>182</v>
      </c>
      <c r="G138">
        <v>179</v>
      </c>
      <c r="H138">
        <v>185</v>
      </c>
      <c r="I138">
        <v>175</v>
      </c>
      <c r="J138">
        <v>174</v>
      </c>
      <c r="K138">
        <v>178</v>
      </c>
      <c r="L138">
        <v>204</v>
      </c>
      <c r="M138">
        <v>186</v>
      </c>
      <c r="N138">
        <v>188</v>
      </c>
      <c r="O138" s="107">
        <f t="shared" si="25"/>
        <v>191.75</v>
      </c>
      <c r="P138" s="107">
        <f t="shared" si="29"/>
        <v>-68.916666666666686</v>
      </c>
      <c r="Q138" s="111">
        <f t="shared" si="28"/>
        <v>-0.26438618925831209</v>
      </c>
    </row>
    <row r="139" spans="1:17" x14ac:dyDescent="0.2">
      <c r="B139" t="s">
        <v>729</v>
      </c>
      <c r="C139">
        <v>192</v>
      </c>
      <c r="D139">
        <v>185</v>
      </c>
      <c r="E139">
        <v>182</v>
      </c>
      <c r="F139">
        <v>184</v>
      </c>
      <c r="G139">
        <v>166</v>
      </c>
      <c r="H139">
        <v>159</v>
      </c>
      <c r="I139">
        <v>158</v>
      </c>
      <c r="J139">
        <v>160</v>
      </c>
      <c r="K139">
        <v>158</v>
      </c>
      <c r="L139">
        <v>148</v>
      </c>
      <c r="M139">
        <v>217</v>
      </c>
      <c r="N139">
        <v>151</v>
      </c>
      <c r="O139" s="107">
        <f t="shared" si="25"/>
        <v>171.66666666666666</v>
      </c>
      <c r="P139" s="107">
        <f t="shared" si="29"/>
        <v>-20.083333333333343</v>
      </c>
      <c r="Q139" s="111">
        <f t="shared" si="28"/>
        <v>-0.10473707083876581</v>
      </c>
    </row>
    <row r="140" spans="1:17" x14ac:dyDescent="0.2">
      <c r="B140" s="525" t="s">
        <v>775</v>
      </c>
      <c r="C140">
        <v>141</v>
      </c>
      <c r="D140">
        <v>138</v>
      </c>
      <c r="E140">
        <v>145</v>
      </c>
      <c r="F140">
        <v>139</v>
      </c>
      <c r="G140">
        <v>137</v>
      </c>
      <c r="H140">
        <v>138</v>
      </c>
      <c r="I140">
        <v>136</v>
      </c>
      <c r="J140">
        <v>130</v>
      </c>
      <c r="K140">
        <v>141</v>
      </c>
      <c r="L140">
        <v>139</v>
      </c>
      <c r="M140">
        <v>136</v>
      </c>
      <c r="N140">
        <v>136</v>
      </c>
      <c r="O140" s="107">
        <f t="shared" si="25"/>
        <v>138</v>
      </c>
      <c r="P140" s="107">
        <f t="shared" si="29"/>
        <v>-33.666666666666657</v>
      </c>
      <c r="Q140" s="111">
        <f t="shared" si="28"/>
        <v>-0.19611650485436888</v>
      </c>
    </row>
    <row r="141" spans="1:17" x14ac:dyDescent="0.2">
      <c r="B141" s="525" t="s">
        <v>800</v>
      </c>
      <c r="C141">
        <v>138</v>
      </c>
      <c r="O141" s="107"/>
      <c r="P141" s="107"/>
      <c r="Q141" s="111"/>
    </row>
    <row r="142" spans="1:17" x14ac:dyDescent="0.2">
      <c r="A142" s="420"/>
      <c r="B142" s="420"/>
      <c r="C142" s="420"/>
      <c r="D142" s="420"/>
      <c r="E142" s="420"/>
      <c r="F142" s="420"/>
      <c r="G142" s="420"/>
      <c r="H142" s="420"/>
      <c r="I142" s="420"/>
      <c r="J142" s="420"/>
      <c r="K142" s="420"/>
      <c r="L142" s="420"/>
      <c r="M142" s="420"/>
      <c r="N142" s="420"/>
      <c r="O142" s="420"/>
      <c r="P142" s="420"/>
      <c r="Q142" s="420"/>
    </row>
    <row r="143" spans="1:17" ht="25.5" x14ac:dyDescent="0.2">
      <c r="A143" s="109" t="s">
        <v>361</v>
      </c>
      <c r="B143" s="110" t="s">
        <v>335</v>
      </c>
      <c r="C143" s="112" t="s">
        <v>336</v>
      </c>
      <c r="D143" s="112" t="s">
        <v>337</v>
      </c>
      <c r="E143" s="112" t="s">
        <v>338</v>
      </c>
      <c r="F143" s="112" t="s">
        <v>339</v>
      </c>
      <c r="G143" s="112" t="s">
        <v>340</v>
      </c>
      <c r="H143" s="112" t="s">
        <v>341</v>
      </c>
      <c r="I143" s="112" t="s">
        <v>342</v>
      </c>
      <c r="J143" s="112" t="s">
        <v>343</v>
      </c>
      <c r="K143" s="112" t="s">
        <v>344</v>
      </c>
      <c r="L143" s="112" t="s">
        <v>345</v>
      </c>
      <c r="M143" s="112" t="s">
        <v>346</v>
      </c>
      <c r="N143" s="112" t="s">
        <v>347</v>
      </c>
    </row>
    <row r="144" spans="1:17" x14ac:dyDescent="0.2">
      <c r="B144" t="s">
        <v>351</v>
      </c>
      <c r="C144">
        <v>204</v>
      </c>
      <c r="D144">
        <v>210</v>
      </c>
      <c r="E144">
        <v>215</v>
      </c>
      <c r="F144">
        <v>213</v>
      </c>
      <c r="G144">
        <v>212</v>
      </c>
      <c r="H144">
        <v>207</v>
      </c>
      <c r="I144">
        <v>200</v>
      </c>
      <c r="J144">
        <v>199</v>
      </c>
      <c r="K144">
        <v>192</v>
      </c>
      <c r="L144">
        <v>192</v>
      </c>
      <c r="M144">
        <v>181</v>
      </c>
      <c r="N144">
        <v>189</v>
      </c>
      <c r="O144" s="107">
        <f t="shared" ref="O144:O164" si="30">SUM(C144:N144)/12</f>
        <v>201.16666666666666</v>
      </c>
      <c r="P144" s="107"/>
    </row>
    <row r="145" spans="2:17" x14ac:dyDescent="0.2">
      <c r="B145" t="s">
        <v>352</v>
      </c>
      <c r="C145">
        <v>191</v>
      </c>
      <c r="D145">
        <v>194</v>
      </c>
      <c r="E145">
        <v>194</v>
      </c>
      <c r="F145">
        <v>191</v>
      </c>
      <c r="G145">
        <v>191</v>
      </c>
      <c r="H145">
        <v>198</v>
      </c>
      <c r="I145">
        <v>185</v>
      </c>
      <c r="J145">
        <v>192</v>
      </c>
      <c r="K145">
        <v>188</v>
      </c>
      <c r="L145">
        <v>198</v>
      </c>
      <c r="M145">
        <v>203</v>
      </c>
      <c r="N145">
        <v>203</v>
      </c>
      <c r="O145" s="107">
        <f t="shared" si="30"/>
        <v>194</v>
      </c>
      <c r="P145" s="107">
        <f t="shared" ref="P145:P152" si="31">SUM(O145-O144)</f>
        <v>-7.1666666666666572</v>
      </c>
      <c r="Q145" s="111">
        <f t="shared" ref="Q145:Q151" si="32">SUM(P145/O144)</f>
        <v>-3.5625517812758863E-2</v>
      </c>
    </row>
    <row r="146" spans="2:17" x14ac:dyDescent="0.2">
      <c r="B146" t="s">
        <v>353</v>
      </c>
      <c r="C146">
        <v>201</v>
      </c>
      <c r="D146">
        <v>196</v>
      </c>
      <c r="E146">
        <v>198</v>
      </c>
      <c r="F146">
        <v>188</v>
      </c>
      <c r="G146">
        <v>188</v>
      </c>
      <c r="H146">
        <v>192</v>
      </c>
      <c r="I146">
        <v>189</v>
      </c>
      <c r="J146">
        <v>200</v>
      </c>
      <c r="K146">
        <v>219</v>
      </c>
      <c r="L146">
        <v>228</v>
      </c>
      <c r="M146">
        <v>234</v>
      </c>
      <c r="N146">
        <v>237</v>
      </c>
      <c r="O146" s="107">
        <f t="shared" si="30"/>
        <v>205.83333333333334</v>
      </c>
      <c r="P146" s="107">
        <f t="shared" si="31"/>
        <v>11.833333333333343</v>
      </c>
      <c r="Q146" s="111">
        <f t="shared" si="32"/>
        <v>6.0996563573883208E-2</v>
      </c>
    </row>
    <row r="147" spans="2:17" x14ac:dyDescent="0.2">
      <c r="B147" t="s">
        <v>230</v>
      </c>
      <c r="C147">
        <v>246</v>
      </c>
      <c r="D147">
        <v>242</v>
      </c>
      <c r="E147">
        <v>245</v>
      </c>
      <c r="F147">
        <v>245</v>
      </c>
      <c r="G147">
        <v>245</v>
      </c>
      <c r="H147">
        <v>245</v>
      </c>
      <c r="I147">
        <v>245</v>
      </c>
      <c r="J147">
        <v>245</v>
      </c>
      <c r="K147">
        <v>245</v>
      </c>
      <c r="L147">
        <v>245</v>
      </c>
      <c r="M147">
        <v>245</v>
      </c>
      <c r="N147">
        <v>245</v>
      </c>
      <c r="O147" s="107">
        <f t="shared" si="30"/>
        <v>244.83333333333334</v>
      </c>
      <c r="P147" s="107">
        <f t="shared" si="31"/>
        <v>39</v>
      </c>
      <c r="Q147" s="111">
        <f t="shared" si="32"/>
        <v>0.18947368421052629</v>
      </c>
    </row>
    <row r="148" spans="2:17" x14ac:dyDescent="0.2">
      <c r="B148" t="s">
        <v>229</v>
      </c>
      <c r="C148">
        <v>219</v>
      </c>
      <c r="D148">
        <v>239</v>
      </c>
      <c r="E148">
        <v>239</v>
      </c>
      <c r="F148">
        <v>242</v>
      </c>
      <c r="G148">
        <v>237</v>
      </c>
      <c r="H148">
        <v>248</v>
      </c>
      <c r="I148">
        <v>255</v>
      </c>
      <c r="J148">
        <v>262</v>
      </c>
      <c r="K148">
        <v>263</v>
      </c>
      <c r="L148">
        <v>274</v>
      </c>
      <c r="M148">
        <v>266</v>
      </c>
      <c r="N148">
        <v>278</v>
      </c>
      <c r="O148" s="107">
        <f t="shared" si="30"/>
        <v>251.83333333333334</v>
      </c>
      <c r="P148" s="107">
        <f t="shared" si="31"/>
        <v>7</v>
      </c>
      <c r="Q148" s="111">
        <f t="shared" si="32"/>
        <v>2.8590878148400271E-2</v>
      </c>
    </row>
    <row r="149" spans="2:17" x14ac:dyDescent="0.2">
      <c r="B149" t="s">
        <v>234</v>
      </c>
      <c r="C149">
        <v>278</v>
      </c>
      <c r="D149">
        <v>279</v>
      </c>
      <c r="E149">
        <v>277</v>
      </c>
      <c r="F149">
        <v>279</v>
      </c>
      <c r="G149">
        <v>282</v>
      </c>
      <c r="H149">
        <v>282</v>
      </c>
      <c r="I149">
        <v>287</v>
      </c>
      <c r="J149">
        <v>293</v>
      </c>
      <c r="K149">
        <v>299</v>
      </c>
      <c r="L149">
        <v>299</v>
      </c>
      <c r="M149">
        <v>316</v>
      </c>
      <c r="N149">
        <v>325</v>
      </c>
      <c r="O149" s="107">
        <f t="shared" si="30"/>
        <v>291.33333333333331</v>
      </c>
      <c r="P149" s="107">
        <f t="shared" si="31"/>
        <v>39.499999999999972</v>
      </c>
      <c r="Q149" s="111">
        <f t="shared" si="32"/>
        <v>0.15684976836532086</v>
      </c>
    </row>
    <row r="150" spans="2:17" x14ac:dyDescent="0.2">
      <c r="B150" t="s">
        <v>238</v>
      </c>
      <c r="C150">
        <v>335</v>
      </c>
      <c r="D150">
        <v>349</v>
      </c>
      <c r="E150">
        <v>352</v>
      </c>
      <c r="F150">
        <v>352</v>
      </c>
      <c r="G150">
        <v>348</v>
      </c>
      <c r="H150">
        <v>363</v>
      </c>
      <c r="I150">
        <v>362</v>
      </c>
      <c r="J150">
        <v>370</v>
      </c>
      <c r="K150">
        <v>376</v>
      </c>
      <c r="L150">
        <v>393</v>
      </c>
      <c r="M150">
        <v>401</v>
      </c>
      <c r="N150">
        <v>400</v>
      </c>
      <c r="O150" s="107">
        <f t="shared" si="30"/>
        <v>366.75</v>
      </c>
      <c r="P150" s="107">
        <f t="shared" si="31"/>
        <v>75.416666666666686</v>
      </c>
      <c r="Q150" s="111">
        <f t="shared" si="32"/>
        <v>0.25886727688787192</v>
      </c>
    </row>
    <row r="151" spans="2:17" x14ac:dyDescent="0.2">
      <c r="B151" t="s">
        <v>239</v>
      </c>
      <c r="C151">
        <v>397</v>
      </c>
      <c r="D151">
        <v>402</v>
      </c>
      <c r="E151">
        <v>398</v>
      </c>
      <c r="F151">
        <v>408</v>
      </c>
      <c r="G151">
        <v>409</v>
      </c>
      <c r="H151">
        <v>416</v>
      </c>
      <c r="I151">
        <v>415</v>
      </c>
      <c r="J151">
        <v>414</v>
      </c>
      <c r="K151">
        <v>405</v>
      </c>
      <c r="L151">
        <v>486</v>
      </c>
      <c r="M151">
        <v>472</v>
      </c>
      <c r="N151">
        <v>409</v>
      </c>
      <c r="O151" s="107">
        <f t="shared" si="30"/>
        <v>419.25</v>
      </c>
      <c r="P151" s="107">
        <f t="shared" si="31"/>
        <v>52.5</v>
      </c>
      <c r="Q151" s="111">
        <f t="shared" si="32"/>
        <v>0.14314928425357873</v>
      </c>
    </row>
    <row r="152" spans="2:17" x14ac:dyDescent="0.2">
      <c r="B152" t="s">
        <v>240</v>
      </c>
      <c r="C152">
        <v>426</v>
      </c>
      <c r="D152">
        <v>431</v>
      </c>
      <c r="E152">
        <v>506</v>
      </c>
      <c r="F152">
        <v>455</v>
      </c>
      <c r="G152">
        <v>489</v>
      </c>
      <c r="H152">
        <v>513</v>
      </c>
      <c r="I152">
        <v>514</v>
      </c>
      <c r="J152">
        <v>518</v>
      </c>
      <c r="K152">
        <v>505</v>
      </c>
      <c r="L152">
        <v>502</v>
      </c>
      <c r="M152">
        <v>516</v>
      </c>
      <c r="N152">
        <v>530</v>
      </c>
      <c r="O152" s="107">
        <f t="shared" si="30"/>
        <v>492.08333333333331</v>
      </c>
      <c r="P152" s="107">
        <f t="shared" si="31"/>
        <v>72.833333333333314</v>
      </c>
      <c r="Q152" s="111">
        <f t="shared" ref="Q152:Q164" si="33">SUM(P152/O151)</f>
        <v>0.17372291790896438</v>
      </c>
    </row>
    <row r="153" spans="2:17" x14ac:dyDescent="0.2">
      <c r="B153" t="s">
        <v>241</v>
      </c>
      <c r="C153">
        <v>482</v>
      </c>
      <c r="D153">
        <v>466</v>
      </c>
      <c r="E153">
        <v>463</v>
      </c>
      <c r="F153">
        <v>466</v>
      </c>
      <c r="G153">
        <v>455</v>
      </c>
      <c r="H153">
        <v>458</v>
      </c>
      <c r="I153">
        <v>448</v>
      </c>
      <c r="J153">
        <v>451</v>
      </c>
      <c r="K153">
        <v>454</v>
      </c>
      <c r="L153">
        <v>449</v>
      </c>
      <c r="M153">
        <v>443</v>
      </c>
      <c r="N153">
        <v>447</v>
      </c>
      <c r="O153" s="107">
        <f t="shared" si="30"/>
        <v>456.83333333333331</v>
      </c>
      <c r="P153" s="107">
        <f t="shared" ref="P153:P164" si="34">SUM(O153-O152)</f>
        <v>-35.25</v>
      </c>
      <c r="Q153" s="111">
        <f t="shared" si="33"/>
        <v>-7.1634208298052504E-2</v>
      </c>
    </row>
    <row r="154" spans="2:17" x14ac:dyDescent="0.2">
      <c r="B154" t="s">
        <v>266</v>
      </c>
      <c r="C154">
        <v>441</v>
      </c>
      <c r="D154">
        <v>439</v>
      </c>
      <c r="E154">
        <v>439</v>
      </c>
      <c r="F154">
        <v>426</v>
      </c>
      <c r="G154">
        <v>432</v>
      </c>
      <c r="H154">
        <v>465</v>
      </c>
      <c r="I154">
        <v>452</v>
      </c>
      <c r="J154">
        <v>441</v>
      </c>
      <c r="K154">
        <v>443</v>
      </c>
      <c r="L154">
        <v>462</v>
      </c>
      <c r="M154">
        <v>480</v>
      </c>
      <c r="N154">
        <v>467</v>
      </c>
      <c r="O154" s="107">
        <f t="shared" si="30"/>
        <v>448.91666666666669</v>
      </c>
      <c r="P154" s="107">
        <f t="shared" si="34"/>
        <v>-7.9166666666666288</v>
      </c>
      <c r="Q154" s="111">
        <f t="shared" si="33"/>
        <v>-1.7329441809558473E-2</v>
      </c>
    </row>
    <row r="155" spans="2:17" x14ac:dyDescent="0.2">
      <c r="B155" t="s">
        <v>285</v>
      </c>
      <c r="C155">
        <v>465</v>
      </c>
      <c r="D155">
        <v>456</v>
      </c>
      <c r="E155">
        <v>455</v>
      </c>
      <c r="F155">
        <v>464</v>
      </c>
      <c r="G155">
        <v>461</v>
      </c>
      <c r="H155">
        <v>470</v>
      </c>
      <c r="I155">
        <v>443</v>
      </c>
      <c r="J155">
        <v>469</v>
      </c>
      <c r="K155">
        <v>478</v>
      </c>
      <c r="L155">
        <v>471</v>
      </c>
      <c r="M155">
        <v>457</v>
      </c>
      <c r="N155">
        <v>468</v>
      </c>
      <c r="O155" s="107">
        <f t="shared" si="30"/>
        <v>463.08333333333331</v>
      </c>
      <c r="P155" s="107">
        <f t="shared" si="34"/>
        <v>14.166666666666629</v>
      </c>
      <c r="Q155" s="111">
        <f t="shared" si="33"/>
        <v>3.1557453127900419E-2</v>
      </c>
    </row>
    <row r="156" spans="2:17" x14ac:dyDescent="0.2">
      <c r="B156" t="s">
        <v>354</v>
      </c>
      <c r="C156">
        <v>486</v>
      </c>
      <c r="D156">
        <v>496</v>
      </c>
      <c r="E156">
        <v>489</v>
      </c>
      <c r="F156">
        <v>495</v>
      </c>
      <c r="G156">
        <v>495</v>
      </c>
      <c r="H156">
        <v>495</v>
      </c>
      <c r="I156">
        <v>495</v>
      </c>
      <c r="J156">
        <v>500</v>
      </c>
      <c r="K156">
        <v>502</v>
      </c>
      <c r="L156">
        <v>508</v>
      </c>
      <c r="M156">
        <v>497</v>
      </c>
      <c r="N156">
        <v>504</v>
      </c>
      <c r="O156" s="107">
        <f t="shared" si="30"/>
        <v>496.83333333333331</v>
      </c>
      <c r="P156" s="107">
        <f t="shared" si="34"/>
        <v>33.75</v>
      </c>
      <c r="Q156" s="111">
        <f t="shared" si="33"/>
        <v>7.2881050926759047E-2</v>
      </c>
    </row>
    <row r="157" spans="2:17" x14ac:dyDescent="0.2">
      <c r="B157" t="s">
        <v>381</v>
      </c>
      <c r="C157">
        <v>496</v>
      </c>
      <c r="D157">
        <v>494</v>
      </c>
      <c r="E157">
        <v>478</v>
      </c>
      <c r="F157">
        <v>497</v>
      </c>
      <c r="G157">
        <v>499</v>
      </c>
      <c r="H157">
        <v>494</v>
      </c>
      <c r="I157">
        <v>489</v>
      </c>
      <c r="J157">
        <v>495</v>
      </c>
      <c r="K157">
        <v>490</v>
      </c>
      <c r="L157">
        <v>488</v>
      </c>
      <c r="M157">
        <v>497</v>
      </c>
      <c r="N157">
        <v>488</v>
      </c>
      <c r="O157" s="107">
        <f t="shared" si="30"/>
        <v>492.08333333333331</v>
      </c>
      <c r="P157" s="107">
        <f t="shared" si="34"/>
        <v>-4.75</v>
      </c>
      <c r="Q157" s="111">
        <f t="shared" si="33"/>
        <v>-9.5605501509560559E-3</v>
      </c>
    </row>
    <row r="158" spans="2:17" x14ac:dyDescent="0.2">
      <c r="B158" t="s">
        <v>435</v>
      </c>
      <c r="C158">
        <v>487</v>
      </c>
      <c r="D158">
        <v>474</v>
      </c>
      <c r="E158">
        <v>466</v>
      </c>
      <c r="F158">
        <v>470</v>
      </c>
      <c r="G158">
        <v>464</v>
      </c>
      <c r="H158">
        <v>474</v>
      </c>
      <c r="I158">
        <v>469</v>
      </c>
      <c r="J158">
        <v>478</v>
      </c>
      <c r="K158">
        <v>472</v>
      </c>
      <c r="L158">
        <v>468</v>
      </c>
      <c r="M158">
        <v>474</v>
      </c>
      <c r="N158">
        <v>471</v>
      </c>
      <c r="O158" s="107">
        <f t="shared" si="30"/>
        <v>472.25</v>
      </c>
      <c r="P158" s="107">
        <f t="shared" si="34"/>
        <v>-19.833333333333314</v>
      </c>
      <c r="Q158" s="111">
        <f t="shared" si="33"/>
        <v>-4.0304826418289551E-2</v>
      </c>
    </row>
    <row r="159" spans="2:17" x14ac:dyDescent="0.2">
      <c r="B159" t="s">
        <v>451</v>
      </c>
      <c r="C159">
        <v>468</v>
      </c>
      <c r="D159">
        <v>469</v>
      </c>
      <c r="E159">
        <v>451</v>
      </c>
      <c r="F159">
        <v>438</v>
      </c>
      <c r="G159">
        <v>433</v>
      </c>
      <c r="H159">
        <v>425</v>
      </c>
      <c r="I159">
        <v>420</v>
      </c>
      <c r="J159">
        <v>419</v>
      </c>
      <c r="K159">
        <v>418</v>
      </c>
      <c r="L159">
        <v>421</v>
      </c>
      <c r="M159">
        <v>413</v>
      </c>
      <c r="N159">
        <v>411</v>
      </c>
      <c r="O159" s="107">
        <f t="shared" si="30"/>
        <v>432.16666666666669</v>
      </c>
      <c r="P159" s="107">
        <f t="shared" si="34"/>
        <v>-40.083333333333314</v>
      </c>
      <c r="Q159" s="111">
        <f t="shared" si="33"/>
        <v>-8.4877360155284937E-2</v>
      </c>
    </row>
    <row r="160" spans="2:17" x14ac:dyDescent="0.2">
      <c r="B160" t="s">
        <v>452</v>
      </c>
      <c r="C160">
        <v>402</v>
      </c>
      <c r="D160">
        <v>427</v>
      </c>
      <c r="E160">
        <v>427</v>
      </c>
      <c r="F160">
        <v>429</v>
      </c>
      <c r="G160">
        <v>429</v>
      </c>
      <c r="H160">
        <v>433</v>
      </c>
      <c r="I160">
        <v>429</v>
      </c>
      <c r="J160">
        <v>440</v>
      </c>
      <c r="K160">
        <v>435</v>
      </c>
      <c r="L160">
        <v>433</v>
      </c>
      <c r="M160">
        <v>428</v>
      </c>
      <c r="N160">
        <v>425</v>
      </c>
      <c r="O160" s="107">
        <f t="shared" si="30"/>
        <v>428.08333333333331</v>
      </c>
      <c r="P160" s="107">
        <f t="shared" si="34"/>
        <v>-4.0833333333333712</v>
      </c>
      <c r="Q160" s="111">
        <f t="shared" si="33"/>
        <v>-9.4485152333205653E-3</v>
      </c>
    </row>
    <row r="161" spans="1:18" x14ac:dyDescent="0.2">
      <c r="B161" t="s">
        <v>674</v>
      </c>
      <c r="C161">
        <v>426</v>
      </c>
      <c r="D161">
        <v>427</v>
      </c>
      <c r="E161">
        <v>432</v>
      </c>
      <c r="F161">
        <v>435</v>
      </c>
      <c r="G161">
        <v>425</v>
      </c>
      <c r="H161">
        <v>423</v>
      </c>
      <c r="I161">
        <v>420</v>
      </c>
      <c r="J161">
        <v>418</v>
      </c>
      <c r="K161">
        <v>405</v>
      </c>
      <c r="L161">
        <v>390</v>
      </c>
      <c r="M161">
        <v>387</v>
      </c>
      <c r="N161">
        <v>384</v>
      </c>
      <c r="O161" s="107">
        <f t="shared" si="30"/>
        <v>414.33333333333331</v>
      </c>
      <c r="P161" s="107">
        <f t="shared" si="34"/>
        <v>-13.75</v>
      </c>
      <c r="Q161" s="111">
        <f t="shared" si="33"/>
        <v>-3.2119914346895075E-2</v>
      </c>
    </row>
    <row r="162" spans="1:18" x14ac:dyDescent="0.2">
      <c r="B162" t="s">
        <v>675</v>
      </c>
      <c r="C162">
        <v>368</v>
      </c>
      <c r="D162">
        <v>345</v>
      </c>
      <c r="E162">
        <v>332</v>
      </c>
      <c r="F162">
        <v>328</v>
      </c>
      <c r="G162">
        <v>320</v>
      </c>
      <c r="H162">
        <v>329</v>
      </c>
      <c r="I162">
        <v>320</v>
      </c>
      <c r="J162">
        <v>317</v>
      </c>
      <c r="K162">
        <v>361</v>
      </c>
      <c r="L162">
        <v>355</v>
      </c>
      <c r="M162">
        <v>322</v>
      </c>
      <c r="N162">
        <v>311</v>
      </c>
      <c r="O162" s="107">
        <f t="shared" si="30"/>
        <v>334</v>
      </c>
      <c r="P162" s="107">
        <f t="shared" si="34"/>
        <v>-80.333333333333314</v>
      </c>
      <c r="Q162" s="111">
        <f t="shared" si="33"/>
        <v>-0.19388576025744164</v>
      </c>
      <c r="R162" t="s">
        <v>732</v>
      </c>
    </row>
    <row r="163" spans="1:18" x14ac:dyDescent="0.2">
      <c r="B163" t="s">
        <v>729</v>
      </c>
      <c r="C163">
        <v>304</v>
      </c>
      <c r="D163">
        <v>290</v>
      </c>
      <c r="E163">
        <v>283</v>
      </c>
      <c r="F163">
        <v>280</v>
      </c>
      <c r="G163">
        <v>258</v>
      </c>
      <c r="H163">
        <v>270</v>
      </c>
      <c r="I163">
        <v>261</v>
      </c>
      <c r="J163">
        <v>279</v>
      </c>
      <c r="K163">
        <v>290</v>
      </c>
      <c r="L163">
        <v>311</v>
      </c>
      <c r="M163">
        <v>313</v>
      </c>
      <c r="N163">
        <v>253</v>
      </c>
      <c r="O163" s="107">
        <f t="shared" si="30"/>
        <v>282.66666666666669</v>
      </c>
      <c r="P163" s="107">
        <f t="shared" si="34"/>
        <v>-51.333333333333314</v>
      </c>
      <c r="Q163" s="111">
        <f t="shared" si="33"/>
        <v>-0.15369261477045904</v>
      </c>
    </row>
    <row r="164" spans="1:18" x14ac:dyDescent="0.2">
      <c r="B164" s="525" t="s">
        <v>775</v>
      </c>
      <c r="C164">
        <v>250</v>
      </c>
      <c r="D164">
        <v>261</v>
      </c>
      <c r="E164">
        <v>262</v>
      </c>
      <c r="F164">
        <v>277</v>
      </c>
      <c r="G164">
        <v>276</v>
      </c>
      <c r="H164">
        <v>283</v>
      </c>
      <c r="I164">
        <v>278</v>
      </c>
      <c r="J164">
        <v>280</v>
      </c>
      <c r="K164">
        <v>293</v>
      </c>
      <c r="L164">
        <v>346</v>
      </c>
      <c r="M164">
        <v>396</v>
      </c>
      <c r="N164">
        <v>316</v>
      </c>
      <c r="O164" s="107">
        <f t="shared" si="30"/>
        <v>293.16666666666669</v>
      </c>
      <c r="P164" s="107">
        <f t="shared" si="34"/>
        <v>10.5</v>
      </c>
      <c r="Q164" s="111">
        <f t="shared" si="33"/>
        <v>3.7146226415094338E-2</v>
      </c>
      <c r="R164" t="s">
        <v>801</v>
      </c>
    </row>
    <row r="165" spans="1:18" x14ac:dyDescent="0.2">
      <c r="B165" s="525" t="s">
        <v>800</v>
      </c>
      <c r="C165">
        <v>302</v>
      </c>
      <c r="O165" s="107"/>
      <c r="P165" s="107"/>
      <c r="Q165" s="111"/>
    </row>
    <row r="166" spans="1:18" ht="25.5" x14ac:dyDescent="0.2">
      <c r="A166" s="109" t="s">
        <v>362</v>
      </c>
      <c r="B166" s="110" t="s">
        <v>335</v>
      </c>
      <c r="C166" s="112" t="s">
        <v>336</v>
      </c>
      <c r="D166" s="112" t="s">
        <v>337</v>
      </c>
      <c r="E166" s="112" t="s">
        <v>338</v>
      </c>
      <c r="F166" s="112" t="s">
        <v>339</v>
      </c>
      <c r="G166" s="112" t="s">
        <v>340</v>
      </c>
      <c r="H166" s="112" t="s">
        <v>341</v>
      </c>
      <c r="I166" s="112" t="s">
        <v>342</v>
      </c>
      <c r="J166" s="112" t="s">
        <v>343</v>
      </c>
      <c r="K166" s="112" t="s">
        <v>344</v>
      </c>
      <c r="L166" s="112" t="s">
        <v>345</v>
      </c>
      <c r="M166" s="112" t="s">
        <v>346</v>
      </c>
      <c r="N166" s="112" t="s">
        <v>347</v>
      </c>
    </row>
    <row r="167" spans="1:18" x14ac:dyDescent="0.2">
      <c r="B167" t="s">
        <v>351</v>
      </c>
      <c r="C167">
        <v>173</v>
      </c>
      <c r="D167">
        <v>167</v>
      </c>
      <c r="E167">
        <v>163</v>
      </c>
      <c r="F167">
        <v>169</v>
      </c>
      <c r="G167">
        <v>161</v>
      </c>
      <c r="H167">
        <v>164</v>
      </c>
      <c r="I167">
        <v>156</v>
      </c>
      <c r="J167">
        <v>157</v>
      </c>
      <c r="K167">
        <v>148</v>
      </c>
      <c r="L167">
        <v>156</v>
      </c>
      <c r="M167">
        <v>171</v>
      </c>
      <c r="N167">
        <v>177</v>
      </c>
      <c r="O167" s="107">
        <f t="shared" ref="O167:O187" si="35">SUM(C167:N167)/12</f>
        <v>163.5</v>
      </c>
      <c r="P167" s="107"/>
    </row>
    <row r="168" spans="1:18" x14ac:dyDescent="0.2">
      <c r="B168" t="s">
        <v>352</v>
      </c>
      <c r="C168">
        <v>169</v>
      </c>
      <c r="D168">
        <v>160</v>
      </c>
      <c r="E168">
        <v>150</v>
      </c>
      <c r="F168">
        <v>143</v>
      </c>
      <c r="G168">
        <v>143</v>
      </c>
      <c r="H168">
        <v>140</v>
      </c>
      <c r="I168">
        <v>144</v>
      </c>
      <c r="J168">
        <v>152</v>
      </c>
      <c r="K168">
        <v>152</v>
      </c>
      <c r="L168">
        <v>143</v>
      </c>
      <c r="M168">
        <v>151</v>
      </c>
      <c r="N168">
        <v>152</v>
      </c>
      <c r="O168" s="107">
        <f t="shared" si="35"/>
        <v>149.91666666666666</v>
      </c>
      <c r="P168" s="107">
        <f t="shared" ref="P168:P175" si="36">SUM(O168-O167)</f>
        <v>-13.583333333333343</v>
      </c>
      <c r="Q168" s="111">
        <f t="shared" ref="Q168:Q174" si="37">SUM(P168/O167)</f>
        <v>-8.3078491335372123E-2</v>
      </c>
    </row>
    <row r="169" spans="1:18" x14ac:dyDescent="0.2">
      <c r="B169" t="s">
        <v>353</v>
      </c>
      <c r="C169">
        <v>144</v>
      </c>
      <c r="D169">
        <v>141</v>
      </c>
      <c r="E169">
        <v>140</v>
      </c>
      <c r="F169">
        <v>142</v>
      </c>
      <c r="G169">
        <v>138</v>
      </c>
      <c r="H169">
        <v>143</v>
      </c>
      <c r="I169">
        <v>143</v>
      </c>
      <c r="J169">
        <v>152</v>
      </c>
      <c r="K169">
        <v>157</v>
      </c>
      <c r="L169">
        <v>162</v>
      </c>
      <c r="M169">
        <v>167</v>
      </c>
      <c r="N169">
        <v>172</v>
      </c>
      <c r="O169" s="107">
        <f t="shared" si="35"/>
        <v>150.08333333333334</v>
      </c>
      <c r="P169" s="107">
        <f t="shared" si="36"/>
        <v>0.16666666666668561</v>
      </c>
      <c r="Q169" s="111">
        <f t="shared" si="37"/>
        <v>1.1117287381880085E-3</v>
      </c>
    </row>
    <row r="170" spans="1:18" x14ac:dyDescent="0.2">
      <c r="B170" t="s">
        <v>230</v>
      </c>
      <c r="C170">
        <v>175</v>
      </c>
      <c r="D170">
        <v>144</v>
      </c>
      <c r="E170">
        <v>144</v>
      </c>
      <c r="F170">
        <v>144</v>
      </c>
      <c r="G170">
        <v>153</v>
      </c>
      <c r="H170">
        <v>153</v>
      </c>
      <c r="I170">
        <v>153</v>
      </c>
      <c r="J170">
        <v>153</v>
      </c>
      <c r="K170">
        <v>153</v>
      </c>
      <c r="L170">
        <v>162</v>
      </c>
      <c r="M170">
        <v>167</v>
      </c>
      <c r="N170">
        <v>172</v>
      </c>
      <c r="O170" s="107">
        <f t="shared" si="35"/>
        <v>156.08333333333334</v>
      </c>
      <c r="P170" s="107">
        <f t="shared" si="36"/>
        <v>6</v>
      </c>
      <c r="Q170" s="111">
        <f t="shared" si="37"/>
        <v>3.9977790116601887E-2</v>
      </c>
    </row>
    <row r="171" spans="1:18" x14ac:dyDescent="0.2">
      <c r="B171" t="s">
        <v>229</v>
      </c>
      <c r="C171">
        <v>189</v>
      </c>
      <c r="D171">
        <v>147</v>
      </c>
      <c r="E171">
        <v>150</v>
      </c>
      <c r="F171">
        <v>149</v>
      </c>
      <c r="G171">
        <v>143</v>
      </c>
      <c r="H171">
        <v>144</v>
      </c>
      <c r="I171">
        <v>145</v>
      </c>
      <c r="J171">
        <v>150</v>
      </c>
      <c r="K171">
        <v>156</v>
      </c>
      <c r="L171">
        <v>156</v>
      </c>
      <c r="M171">
        <v>137</v>
      </c>
      <c r="N171">
        <v>137</v>
      </c>
      <c r="O171" s="107">
        <f t="shared" si="35"/>
        <v>150.25</v>
      </c>
      <c r="P171" s="107">
        <f t="shared" si="36"/>
        <v>-5.8333333333333428</v>
      </c>
      <c r="Q171" s="111">
        <f t="shared" si="37"/>
        <v>-3.7373198077949872E-2</v>
      </c>
    </row>
    <row r="172" spans="1:18" x14ac:dyDescent="0.2">
      <c r="B172" t="s">
        <v>234</v>
      </c>
      <c r="C172">
        <v>121</v>
      </c>
      <c r="D172">
        <v>120</v>
      </c>
      <c r="E172">
        <v>127</v>
      </c>
      <c r="F172">
        <v>130</v>
      </c>
      <c r="G172">
        <v>134</v>
      </c>
      <c r="H172">
        <v>143</v>
      </c>
      <c r="I172">
        <v>142</v>
      </c>
      <c r="J172">
        <v>138</v>
      </c>
      <c r="K172">
        <v>139</v>
      </c>
      <c r="L172">
        <v>146</v>
      </c>
      <c r="M172">
        <v>148</v>
      </c>
      <c r="N172">
        <v>147</v>
      </c>
      <c r="O172" s="107">
        <f t="shared" si="35"/>
        <v>136.25</v>
      </c>
      <c r="P172" s="107">
        <f t="shared" si="36"/>
        <v>-14</v>
      </c>
      <c r="Q172" s="111">
        <f t="shared" si="37"/>
        <v>-9.3178036605657238E-2</v>
      </c>
    </row>
    <row r="173" spans="1:18" x14ac:dyDescent="0.2">
      <c r="B173" t="s">
        <v>238</v>
      </c>
      <c r="C173">
        <v>146</v>
      </c>
      <c r="D173">
        <v>146</v>
      </c>
      <c r="E173">
        <v>146</v>
      </c>
      <c r="F173">
        <v>152</v>
      </c>
      <c r="G173">
        <v>150</v>
      </c>
      <c r="H173">
        <v>141</v>
      </c>
      <c r="I173">
        <v>136</v>
      </c>
      <c r="J173">
        <v>139</v>
      </c>
      <c r="K173">
        <v>141</v>
      </c>
      <c r="L173">
        <v>149</v>
      </c>
      <c r="M173">
        <v>155</v>
      </c>
      <c r="N173">
        <v>142</v>
      </c>
      <c r="O173" s="107">
        <f t="shared" si="35"/>
        <v>145.25</v>
      </c>
      <c r="P173" s="107">
        <f t="shared" si="36"/>
        <v>9</v>
      </c>
      <c r="Q173" s="111">
        <f t="shared" si="37"/>
        <v>6.6055045871559637E-2</v>
      </c>
    </row>
    <row r="174" spans="1:18" x14ac:dyDescent="0.2">
      <c r="B174" t="s">
        <v>239</v>
      </c>
      <c r="C174">
        <v>148</v>
      </c>
      <c r="D174">
        <v>149</v>
      </c>
      <c r="E174">
        <v>149</v>
      </c>
      <c r="F174">
        <v>151</v>
      </c>
      <c r="G174">
        <v>139</v>
      </c>
      <c r="H174">
        <v>141</v>
      </c>
      <c r="I174">
        <v>136</v>
      </c>
      <c r="J174">
        <v>148</v>
      </c>
      <c r="K174">
        <v>146</v>
      </c>
      <c r="L174">
        <v>210</v>
      </c>
      <c r="M174">
        <v>211</v>
      </c>
      <c r="N174">
        <v>152</v>
      </c>
      <c r="O174" s="107">
        <f t="shared" si="35"/>
        <v>156.66666666666666</v>
      </c>
      <c r="P174" s="107">
        <f t="shared" si="36"/>
        <v>11.416666666666657</v>
      </c>
      <c r="Q174" s="111">
        <f t="shared" si="37"/>
        <v>7.8600114744692987E-2</v>
      </c>
    </row>
    <row r="175" spans="1:18" x14ac:dyDescent="0.2">
      <c r="B175" t="s">
        <v>240</v>
      </c>
      <c r="C175">
        <v>146</v>
      </c>
      <c r="D175">
        <v>150</v>
      </c>
      <c r="E175">
        <v>146</v>
      </c>
      <c r="F175">
        <v>146</v>
      </c>
      <c r="G175">
        <v>114</v>
      </c>
      <c r="H175">
        <v>99</v>
      </c>
      <c r="I175">
        <v>169</v>
      </c>
      <c r="J175">
        <v>145</v>
      </c>
      <c r="K175">
        <v>145</v>
      </c>
      <c r="L175">
        <v>145</v>
      </c>
      <c r="M175">
        <v>139</v>
      </c>
      <c r="N175">
        <v>138</v>
      </c>
      <c r="O175" s="107">
        <f t="shared" si="35"/>
        <v>140.16666666666666</v>
      </c>
      <c r="P175" s="107">
        <f t="shared" si="36"/>
        <v>-16.5</v>
      </c>
      <c r="Q175" s="111">
        <f t="shared" ref="Q175:Q187" si="38">SUM(P175/O174)</f>
        <v>-0.10531914893617023</v>
      </c>
    </row>
    <row r="176" spans="1:18" x14ac:dyDescent="0.2">
      <c r="B176" t="s">
        <v>241</v>
      </c>
      <c r="C176">
        <v>133</v>
      </c>
      <c r="D176">
        <v>135</v>
      </c>
      <c r="E176">
        <v>136</v>
      </c>
      <c r="F176">
        <v>143</v>
      </c>
      <c r="G176">
        <v>140</v>
      </c>
      <c r="H176">
        <v>144</v>
      </c>
      <c r="I176">
        <v>145</v>
      </c>
      <c r="J176">
        <v>144</v>
      </c>
      <c r="K176">
        <v>166</v>
      </c>
      <c r="L176">
        <v>162</v>
      </c>
      <c r="M176">
        <v>166</v>
      </c>
      <c r="N176">
        <v>161</v>
      </c>
      <c r="O176" s="107">
        <f t="shared" si="35"/>
        <v>147.91666666666666</v>
      </c>
      <c r="P176" s="107">
        <f t="shared" ref="P176:P187" si="39">SUM(O176-O175)</f>
        <v>7.75</v>
      </c>
      <c r="Q176" s="111">
        <f t="shared" si="38"/>
        <v>5.5291319857312726E-2</v>
      </c>
    </row>
    <row r="177" spans="1:17" x14ac:dyDescent="0.2">
      <c r="B177" t="s">
        <v>266</v>
      </c>
      <c r="C177">
        <v>159</v>
      </c>
      <c r="D177">
        <v>157</v>
      </c>
      <c r="E177">
        <v>154</v>
      </c>
      <c r="F177">
        <v>156</v>
      </c>
      <c r="G177">
        <v>155</v>
      </c>
      <c r="H177">
        <v>151</v>
      </c>
      <c r="I177">
        <v>152</v>
      </c>
      <c r="J177">
        <v>148</v>
      </c>
      <c r="K177">
        <v>152</v>
      </c>
      <c r="L177">
        <v>155</v>
      </c>
      <c r="M177">
        <v>161</v>
      </c>
      <c r="N177">
        <v>156</v>
      </c>
      <c r="O177" s="107">
        <f t="shared" si="35"/>
        <v>154.66666666666666</v>
      </c>
      <c r="P177" s="107">
        <f t="shared" si="39"/>
        <v>6.75</v>
      </c>
      <c r="Q177" s="111">
        <f t="shared" si="38"/>
        <v>4.5633802816901409E-2</v>
      </c>
    </row>
    <row r="178" spans="1:17" x14ac:dyDescent="0.2">
      <c r="B178" t="s">
        <v>285</v>
      </c>
      <c r="C178">
        <v>150</v>
      </c>
      <c r="D178">
        <v>158</v>
      </c>
      <c r="E178">
        <v>160</v>
      </c>
      <c r="F178">
        <v>142</v>
      </c>
      <c r="G178">
        <v>141</v>
      </c>
      <c r="H178">
        <v>138</v>
      </c>
      <c r="I178">
        <v>139</v>
      </c>
      <c r="J178">
        <v>136</v>
      </c>
      <c r="K178">
        <v>134</v>
      </c>
      <c r="L178">
        <v>142</v>
      </c>
      <c r="M178">
        <v>143</v>
      </c>
      <c r="N178">
        <v>135</v>
      </c>
      <c r="O178" s="107">
        <f t="shared" si="35"/>
        <v>143.16666666666666</v>
      </c>
      <c r="P178" s="107">
        <f t="shared" si="39"/>
        <v>-11.5</v>
      </c>
      <c r="Q178" s="111">
        <f t="shared" si="38"/>
        <v>-7.4353448275862072E-2</v>
      </c>
    </row>
    <row r="179" spans="1:17" x14ac:dyDescent="0.2">
      <c r="B179" t="s">
        <v>354</v>
      </c>
      <c r="C179">
        <v>137</v>
      </c>
      <c r="D179">
        <v>145</v>
      </c>
      <c r="E179">
        <v>146</v>
      </c>
      <c r="F179">
        <v>150</v>
      </c>
      <c r="G179">
        <v>146</v>
      </c>
      <c r="H179">
        <v>138</v>
      </c>
      <c r="I179">
        <v>137</v>
      </c>
      <c r="J179">
        <v>135</v>
      </c>
      <c r="K179">
        <v>138</v>
      </c>
      <c r="L179">
        <v>141</v>
      </c>
      <c r="M179">
        <v>147</v>
      </c>
      <c r="N179">
        <v>140</v>
      </c>
      <c r="O179" s="107">
        <f t="shared" si="35"/>
        <v>141.66666666666666</v>
      </c>
      <c r="P179" s="107">
        <f t="shared" si="39"/>
        <v>-1.5</v>
      </c>
      <c r="Q179" s="111">
        <f t="shared" si="38"/>
        <v>-1.0477299185098952E-2</v>
      </c>
    </row>
    <row r="180" spans="1:17" x14ac:dyDescent="0.2">
      <c r="B180" t="s">
        <v>381</v>
      </c>
      <c r="C180">
        <v>140</v>
      </c>
      <c r="D180">
        <v>137</v>
      </c>
      <c r="E180">
        <v>119</v>
      </c>
      <c r="F180">
        <v>113</v>
      </c>
      <c r="G180">
        <v>111</v>
      </c>
      <c r="H180">
        <v>112</v>
      </c>
      <c r="I180">
        <v>117</v>
      </c>
      <c r="J180">
        <v>109</v>
      </c>
      <c r="K180">
        <v>106</v>
      </c>
      <c r="L180">
        <v>117</v>
      </c>
      <c r="M180">
        <v>122</v>
      </c>
      <c r="N180">
        <v>124</v>
      </c>
      <c r="O180" s="107">
        <f t="shared" si="35"/>
        <v>118.91666666666667</v>
      </c>
      <c r="P180" s="107">
        <f t="shared" si="39"/>
        <v>-22.749999999999986</v>
      </c>
      <c r="Q180" s="111">
        <f t="shared" si="38"/>
        <v>-0.16058823529411756</v>
      </c>
    </row>
    <row r="181" spans="1:17" x14ac:dyDescent="0.2">
      <c r="B181" t="s">
        <v>435</v>
      </c>
      <c r="C181">
        <v>138</v>
      </c>
      <c r="D181">
        <v>145</v>
      </c>
      <c r="E181">
        <v>142</v>
      </c>
      <c r="F181">
        <v>146</v>
      </c>
      <c r="G181">
        <v>148</v>
      </c>
      <c r="H181">
        <v>149</v>
      </c>
      <c r="I181">
        <v>150</v>
      </c>
      <c r="J181">
        <v>147</v>
      </c>
      <c r="K181">
        <v>152</v>
      </c>
      <c r="L181">
        <v>159</v>
      </c>
      <c r="M181">
        <v>160</v>
      </c>
      <c r="N181">
        <v>157</v>
      </c>
      <c r="O181" s="107">
        <f t="shared" si="35"/>
        <v>149.41666666666666</v>
      </c>
      <c r="P181" s="107">
        <f t="shared" si="39"/>
        <v>30.499999999999986</v>
      </c>
      <c r="Q181" s="111">
        <f t="shared" si="38"/>
        <v>0.25648213034337758</v>
      </c>
    </row>
    <row r="182" spans="1:17" x14ac:dyDescent="0.2">
      <c r="B182" t="s">
        <v>451</v>
      </c>
      <c r="C182">
        <v>156</v>
      </c>
      <c r="D182">
        <v>161</v>
      </c>
      <c r="E182">
        <v>163</v>
      </c>
      <c r="F182">
        <v>164</v>
      </c>
      <c r="G182">
        <v>162</v>
      </c>
      <c r="H182">
        <v>158</v>
      </c>
      <c r="I182">
        <v>166</v>
      </c>
      <c r="J182">
        <v>166</v>
      </c>
      <c r="K182">
        <v>170</v>
      </c>
      <c r="L182">
        <v>164</v>
      </c>
      <c r="M182">
        <v>162</v>
      </c>
      <c r="N182">
        <v>160</v>
      </c>
      <c r="O182" s="107">
        <f t="shared" si="35"/>
        <v>162.66666666666666</v>
      </c>
      <c r="P182" s="107">
        <f t="shared" si="39"/>
        <v>13.25</v>
      </c>
      <c r="Q182" s="111">
        <f t="shared" si="38"/>
        <v>8.8678192972671502E-2</v>
      </c>
    </row>
    <row r="183" spans="1:17" x14ac:dyDescent="0.2">
      <c r="B183" t="s">
        <v>452</v>
      </c>
      <c r="C183">
        <v>156</v>
      </c>
      <c r="D183">
        <v>155</v>
      </c>
      <c r="E183">
        <v>149</v>
      </c>
      <c r="F183">
        <v>146</v>
      </c>
      <c r="G183">
        <v>149</v>
      </c>
      <c r="H183">
        <v>151</v>
      </c>
      <c r="I183">
        <v>151</v>
      </c>
      <c r="J183">
        <v>148</v>
      </c>
      <c r="K183">
        <v>155</v>
      </c>
      <c r="L183">
        <v>156</v>
      </c>
      <c r="M183">
        <v>153</v>
      </c>
      <c r="N183">
        <v>154</v>
      </c>
      <c r="O183" s="107">
        <f t="shared" si="35"/>
        <v>151.91666666666666</v>
      </c>
      <c r="P183" s="107">
        <f t="shared" si="39"/>
        <v>-10.75</v>
      </c>
      <c r="Q183" s="111">
        <f t="shared" si="38"/>
        <v>-6.6086065573770489E-2</v>
      </c>
    </row>
    <row r="184" spans="1:17" x14ac:dyDescent="0.2">
      <c r="B184" t="s">
        <v>674</v>
      </c>
      <c r="C184">
        <v>156</v>
      </c>
      <c r="D184">
        <v>159</v>
      </c>
      <c r="E184">
        <v>157</v>
      </c>
      <c r="F184">
        <v>158</v>
      </c>
      <c r="G184">
        <v>143</v>
      </c>
      <c r="H184">
        <v>148</v>
      </c>
      <c r="I184">
        <v>155</v>
      </c>
      <c r="J184">
        <v>149</v>
      </c>
      <c r="K184">
        <v>151</v>
      </c>
      <c r="L184">
        <v>145</v>
      </c>
      <c r="M184">
        <v>133</v>
      </c>
      <c r="N184">
        <v>128</v>
      </c>
      <c r="O184" s="107">
        <f t="shared" si="35"/>
        <v>148.5</v>
      </c>
      <c r="P184" s="107">
        <f t="shared" si="39"/>
        <v>-3.4166666666666572</v>
      </c>
      <c r="Q184" s="111">
        <f t="shared" si="38"/>
        <v>-2.2490400438837019E-2</v>
      </c>
    </row>
    <row r="185" spans="1:17" x14ac:dyDescent="0.2">
      <c r="B185" t="s">
        <v>675</v>
      </c>
      <c r="C185">
        <v>119</v>
      </c>
      <c r="D185">
        <v>118</v>
      </c>
      <c r="E185">
        <v>115</v>
      </c>
      <c r="F185">
        <v>111</v>
      </c>
      <c r="G185">
        <v>108</v>
      </c>
      <c r="H185">
        <v>105</v>
      </c>
      <c r="I185">
        <v>93</v>
      </c>
      <c r="J185">
        <v>94</v>
      </c>
      <c r="K185">
        <v>90</v>
      </c>
      <c r="L185">
        <v>85</v>
      </c>
      <c r="M185">
        <v>80</v>
      </c>
      <c r="N185">
        <v>82</v>
      </c>
      <c r="O185" s="107">
        <f t="shared" si="35"/>
        <v>100</v>
      </c>
      <c r="P185" s="107">
        <f t="shared" si="39"/>
        <v>-48.5</v>
      </c>
      <c r="Q185" s="111">
        <f t="shared" si="38"/>
        <v>-0.32659932659932661</v>
      </c>
    </row>
    <row r="186" spans="1:17" x14ac:dyDescent="0.2">
      <c r="B186" t="s">
        <v>729</v>
      </c>
      <c r="C186">
        <v>83</v>
      </c>
      <c r="D186">
        <v>84</v>
      </c>
      <c r="E186">
        <v>81</v>
      </c>
      <c r="F186">
        <v>79</v>
      </c>
      <c r="G186">
        <v>72</v>
      </c>
      <c r="H186">
        <v>80</v>
      </c>
      <c r="I186">
        <v>101</v>
      </c>
      <c r="J186">
        <v>82</v>
      </c>
      <c r="K186">
        <v>80</v>
      </c>
      <c r="L186">
        <v>80</v>
      </c>
      <c r="M186">
        <v>82</v>
      </c>
      <c r="N186">
        <v>86</v>
      </c>
      <c r="O186" s="107">
        <f t="shared" si="35"/>
        <v>82.5</v>
      </c>
      <c r="P186" s="107">
        <f t="shared" si="39"/>
        <v>-17.5</v>
      </c>
      <c r="Q186" s="111">
        <f t="shared" si="38"/>
        <v>-0.17499999999999999</v>
      </c>
    </row>
    <row r="187" spans="1:17" x14ac:dyDescent="0.2">
      <c r="B187" s="525" t="s">
        <v>775</v>
      </c>
      <c r="C187">
        <v>90</v>
      </c>
      <c r="D187">
        <v>91</v>
      </c>
      <c r="E187">
        <v>84</v>
      </c>
      <c r="F187">
        <v>79</v>
      </c>
      <c r="G187">
        <v>79</v>
      </c>
      <c r="H187">
        <v>84</v>
      </c>
      <c r="I187">
        <v>89</v>
      </c>
      <c r="J187">
        <v>89</v>
      </c>
      <c r="K187">
        <v>87</v>
      </c>
      <c r="L187">
        <v>87</v>
      </c>
      <c r="M187">
        <v>90</v>
      </c>
      <c r="N187">
        <v>94</v>
      </c>
      <c r="O187" s="107">
        <f t="shared" si="35"/>
        <v>86.916666666666671</v>
      </c>
      <c r="P187" s="107">
        <f t="shared" si="39"/>
        <v>4.4166666666666714</v>
      </c>
      <c r="Q187" s="111">
        <f t="shared" si="38"/>
        <v>5.3535353535353596E-2</v>
      </c>
    </row>
    <row r="188" spans="1:17" x14ac:dyDescent="0.2">
      <c r="B188" s="525" t="s">
        <v>800</v>
      </c>
      <c r="C188">
        <v>84</v>
      </c>
      <c r="O188" s="107"/>
      <c r="P188" s="107"/>
      <c r="Q188" s="111"/>
    </row>
    <row r="189" spans="1:17" x14ac:dyDescent="0.2">
      <c r="A189" s="420"/>
      <c r="B189" s="420"/>
      <c r="C189" s="420"/>
      <c r="D189" s="420"/>
      <c r="E189" s="420"/>
      <c r="F189" s="420"/>
      <c r="G189" s="420"/>
      <c r="H189" s="420"/>
      <c r="I189" s="420"/>
      <c r="J189" s="420"/>
      <c r="K189" s="420"/>
      <c r="L189" s="420"/>
      <c r="M189" s="420"/>
      <c r="N189" s="420"/>
      <c r="O189" s="420"/>
      <c r="P189" s="420"/>
      <c r="Q189" s="420"/>
    </row>
    <row r="190" spans="1:17" ht="25.5" x14ac:dyDescent="0.2">
      <c r="A190" s="109" t="s">
        <v>363</v>
      </c>
      <c r="B190" s="110" t="s">
        <v>335</v>
      </c>
      <c r="C190" s="112" t="s">
        <v>336</v>
      </c>
      <c r="D190" s="112" t="s">
        <v>337</v>
      </c>
      <c r="E190" s="112" t="s">
        <v>338</v>
      </c>
      <c r="F190" s="112" t="s">
        <v>339</v>
      </c>
      <c r="G190" s="112" t="s">
        <v>340</v>
      </c>
      <c r="H190" s="112" t="s">
        <v>341</v>
      </c>
      <c r="I190" s="112" t="s">
        <v>342</v>
      </c>
      <c r="J190" s="112" t="s">
        <v>343</v>
      </c>
      <c r="K190" s="112" t="s">
        <v>344</v>
      </c>
      <c r="L190" s="112" t="s">
        <v>345</v>
      </c>
      <c r="M190" s="112" t="s">
        <v>346</v>
      </c>
      <c r="N190" s="112" t="s">
        <v>347</v>
      </c>
    </row>
    <row r="191" spans="1:17" x14ac:dyDescent="0.2">
      <c r="B191" t="s">
        <v>351</v>
      </c>
      <c r="C191">
        <v>88</v>
      </c>
      <c r="D191">
        <v>88</v>
      </c>
      <c r="E191">
        <v>91</v>
      </c>
      <c r="F191">
        <v>89</v>
      </c>
      <c r="G191">
        <v>92</v>
      </c>
      <c r="H191">
        <v>87</v>
      </c>
      <c r="I191">
        <v>92</v>
      </c>
      <c r="J191">
        <v>98</v>
      </c>
      <c r="K191">
        <v>100</v>
      </c>
      <c r="L191">
        <v>101</v>
      </c>
      <c r="M191">
        <v>101</v>
      </c>
      <c r="N191">
        <v>103</v>
      </c>
      <c r="O191" s="107">
        <f t="shared" ref="O191:O199" si="40">SUM(C191:N191)/12</f>
        <v>94.166666666666671</v>
      </c>
      <c r="P191" s="107"/>
    </row>
    <row r="192" spans="1:17" x14ac:dyDescent="0.2">
      <c r="B192" t="s">
        <v>352</v>
      </c>
      <c r="C192">
        <v>99</v>
      </c>
      <c r="D192">
        <v>99</v>
      </c>
      <c r="E192">
        <v>93</v>
      </c>
      <c r="F192">
        <v>96</v>
      </c>
      <c r="G192">
        <v>87</v>
      </c>
      <c r="H192">
        <v>98</v>
      </c>
      <c r="I192">
        <v>92</v>
      </c>
      <c r="J192">
        <v>97</v>
      </c>
      <c r="K192">
        <v>96</v>
      </c>
      <c r="L192">
        <v>96</v>
      </c>
      <c r="M192">
        <v>99</v>
      </c>
      <c r="N192">
        <v>104</v>
      </c>
      <c r="O192" s="107">
        <f t="shared" si="40"/>
        <v>96.333333333333329</v>
      </c>
      <c r="P192" s="107">
        <f t="shared" ref="P192:P199" si="41">SUM(O192-O191)</f>
        <v>2.1666666666666572</v>
      </c>
      <c r="Q192" s="111">
        <f t="shared" ref="Q192:Q198" si="42">SUM(P192/O191)</f>
        <v>2.3008849557522023E-2</v>
      </c>
    </row>
    <row r="193" spans="2:17" x14ac:dyDescent="0.2">
      <c r="B193" t="s">
        <v>353</v>
      </c>
      <c r="C193">
        <v>103</v>
      </c>
      <c r="D193">
        <v>108</v>
      </c>
      <c r="E193">
        <v>99</v>
      </c>
      <c r="F193">
        <v>108</v>
      </c>
      <c r="G193">
        <v>104</v>
      </c>
      <c r="H193">
        <v>89</v>
      </c>
      <c r="I193">
        <v>81</v>
      </c>
      <c r="J193">
        <v>73</v>
      </c>
      <c r="K193">
        <v>71</v>
      </c>
      <c r="L193">
        <v>75</v>
      </c>
      <c r="M193">
        <v>110</v>
      </c>
      <c r="N193">
        <v>120</v>
      </c>
      <c r="O193" s="107">
        <f t="shared" si="40"/>
        <v>95.083333333333329</v>
      </c>
      <c r="P193" s="107">
        <f t="shared" si="41"/>
        <v>-1.25</v>
      </c>
      <c r="Q193" s="111">
        <f t="shared" si="42"/>
        <v>-1.2975778546712804E-2</v>
      </c>
    </row>
    <row r="194" spans="2:17" x14ac:dyDescent="0.2">
      <c r="B194" t="s">
        <v>230</v>
      </c>
      <c r="C194">
        <v>75</v>
      </c>
      <c r="D194">
        <v>134</v>
      </c>
      <c r="E194">
        <v>85</v>
      </c>
      <c r="F194">
        <v>85</v>
      </c>
      <c r="G194">
        <v>86</v>
      </c>
      <c r="H194">
        <v>89</v>
      </c>
      <c r="I194">
        <v>85</v>
      </c>
      <c r="J194">
        <v>85</v>
      </c>
      <c r="K194">
        <v>85</v>
      </c>
      <c r="L194">
        <v>85</v>
      </c>
      <c r="M194">
        <v>85</v>
      </c>
      <c r="N194">
        <v>85</v>
      </c>
      <c r="O194" s="107">
        <f t="shared" si="40"/>
        <v>88.666666666666671</v>
      </c>
      <c r="P194" s="107">
        <f t="shared" si="41"/>
        <v>-6.4166666666666572</v>
      </c>
      <c r="Q194" s="111">
        <f t="shared" si="42"/>
        <v>-6.7484662576687018E-2</v>
      </c>
    </row>
    <row r="195" spans="2:17" x14ac:dyDescent="0.2">
      <c r="B195" t="s">
        <v>229</v>
      </c>
      <c r="C195">
        <v>107</v>
      </c>
      <c r="D195">
        <v>90</v>
      </c>
      <c r="E195">
        <v>90</v>
      </c>
      <c r="F195">
        <v>91</v>
      </c>
      <c r="G195">
        <v>89</v>
      </c>
      <c r="H195">
        <v>89</v>
      </c>
      <c r="I195">
        <v>87</v>
      </c>
      <c r="J195">
        <v>83</v>
      </c>
      <c r="K195">
        <v>79</v>
      </c>
      <c r="L195">
        <v>83</v>
      </c>
      <c r="M195">
        <v>84</v>
      </c>
      <c r="N195">
        <v>86</v>
      </c>
      <c r="O195" s="107">
        <f t="shared" si="40"/>
        <v>88.166666666666671</v>
      </c>
      <c r="P195" s="107">
        <f t="shared" si="41"/>
        <v>-0.5</v>
      </c>
      <c r="Q195" s="111">
        <f t="shared" si="42"/>
        <v>-5.6390977443609019E-3</v>
      </c>
    </row>
    <row r="196" spans="2:17" x14ac:dyDescent="0.2">
      <c r="B196" t="s">
        <v>234</v>
      </c>
      <c r="C196">
        <v>94</v>
      </c>
      <c r="D196">
        <v>94</v>
      </c>
      <c r="E196">
        <v>95</v>
      </c>
      <c r="F196">
        <v>92</v>
      </c>
      <c r="G196">
        <v>92</v>
      </c>
      <c r="H196">
        <v>91</v>
      </c>
      <c r="I196">
        <v>93</v>
      </c>
      <c r="J196">
        <v>90</v>
      </c>
      <c r="K196">
        <v>87</v>
      </c>
      <c r="L196">
        <v>86</v>
      </c>
      <c r="M196">
        <v>86</v>
      </c>
      <c r="N196">
        <v>85</v>
      </c>
      <c r="O196" s="107">
        <f t="shared" si="40"/>
        <v>90.416666666666671</v>
      </c>
      <c r="P196" s="107">
        <f t="shared" si="41"/>
        <v>2.25</v>
      </c>
      <c r="Q196" s="111">
        <f t="shared" si="42"/>
        <v>2.5519848771266538E-2</v>
      </c>
    </row>
    <row r="197" spans="2:17" x14ac:dyDescent="0.2">
      <c r="B197" t="s">
        <v>238</v>
      </c>
      <c r="C197">
        <v>88</v>
      </c>
      <c r="D197">
        <v>90</v>
      </c>
      <c r="E197">
        <v>90</v>
      </c>
      <c r="F197">
        <v>93</v>
      </c>
      <c r="G197">
        <v>90</v>
      </c>
      <c r="H197">
        <v>89</v>
      </c>
      <c r="I197">
        <v>112</v>
      </c>
      <c r="J197">
        <v>108</v>
      </c>
      <c r="K197">
        <v>112</v>
      </c>
      <c r="L197">
        <v>113</v>
      </c>
      <c r="M197">
        <v>109</v>
      </c>
      <c r="N197">
        <v>108</v>
      </c>
      <c r="O197" s="107">
        <f t="shared" si="40"/>
        <v>100.16666666666667</v>
      </c>
      <c r="P197" s="107">
        <f t="shared" si="41"/>
        <v>9.75</v>
      </c>
      <c r="Q197" s="111">
        <f t="shared" si="42"/>
        <v>0.10783410138248847</v>
      </c>
    </row>
    <row r="198" spans="2:17" x14ac:dyDescent="0.2">
      <c r="B198" t="s">
        <v>239</v>
      </c>
      <c r="C198">
        <v>107</v>
      </c>
      <c r="D198">
        <v>106</v>
      </c>
      <c r="E198">
        <v>105</v>
      </c>
      <c r="F198">
        <v>96</v>
      </c>
      <c r="G198">
        <v>99</v>
      </c>
      <c r="H198">
        <v>101</v>
      </c>
      <c r="I198">
        <v>103</v>
      </c>
      <c r="J198">
        <v>103</v>
      </c>
      <c r="K198">
        <v>100</v>
      </c>
      <c r="L198">
        <v>113</v>
      </c>
      <c r="M198">
        <v>118</v>
      </c>
      <c r="N198">
        <v>104</v>
      </c>
      <c r="O198" s="107">
        <f t="shared" si="40"/>
        <v>104.58333333333333</v>
      </c>
      <c r="P198" s="107">
        <f t="shared" si="41"/>
        <v>4.4166666666666572</v>
      </c>
      <c r="Q198" s="111">
        <f t="shared" si="42"/>
        <v>4.4093178036605563E-2</v>
      </c>
    </row>
    <row r="199" spans="2:17" x14ac:dyDescent="0.2">
      <c r="B199" t="s">
        <v>240</v>
      </c>
      <c r="C199">
        <v>106</v>
      </c>
      <c r="D199">
        <v>102</v>
      </c>
      <c r="E199">
        <v>105</v>
      </c>
      <c r="F199">
        <v>103</v>
      </c>
      <c r="G199">
        <v>103</v>
      </c>
      <c r="H199">
        <v>103</v>
      </c>
      <c r="I199">
        <v>99</v>
      </c>
      <c r="J199">
        <v>98</v>
      </c>
      <c r="K199">
        <v>100</v>
      </c>
      <c r="L199">
        <v>101</v>
      </c>
      <c r="M199">
        <v>100</v>
      </c>
      <c r="N199">
        <v>103</v>
      </c>
      <c r="O199" s="107">
        <f t="shared" si="40"/>
        <v>101.91666666666667</v>
      </c>
      <c r="P199" s="107">
        <f t="shared" si="41"/>
        <v>-2.6666666666666572</v>
      </c>
      <c r="Q199" s="111">
        <f t="shared" ref="Q199:Q211" si="43">SUM(P199/O198)</f>
        <v>-2.5498007968127401E-2</v>
      </c>
    </row>
    <row r="200" spans="2:17" x14ac:dyDescent="0.2">
      <c r="B200" t="s">
        <v>241</v>
      </c>
      <c r="C200">
        <v>96</v>
      </c>
      <c r="D200">
        <v>95</v>
      </c>
      <c r="E200">
        <v>92</v>
      </c>
      <c r="F200">
        <v>93</v>
      </c>
      <c r="G200">
        <v>90</v>
      </c>
      <c r="H200">
        <v>90</v>
      </c>
      <c r="I200">
        <v>90</v>
      </c>
      <c r="J200">
        <v>90</v>
      </c>
      <c r="K200">
        <v>91</v>
      </c>
      <c r="L200">
        <v>90</v>
      </c>
      <c r="M200">
        <v>75</v>
      </c>
      <c r="N200">
        <v>74</v>
      </c>
      <c r="O200" s="107">
        <f>SUM(C200:N200)/12</f>
        <v>88.833333333333329</v>
      </c>
      <c r="P200" s="107">
        <f t="shared" ref="P200:P211" si="44">SUM(O200-O199)</f>
        <v>-13.083333333333343</v>
      </c>
      <c r="Q200" s="111">
        <f t="shared" si="43"/>
        <v>-0.12837285363859371</v>
      </c>
    </row>
    <row r="201" spans="2:17" x14ac:dyDescent="0.2">
      <c r="B201" t="s">
        <v>266</v>
      </c>
      <c r="C201">
        <v>73</v>
      </c>
      <c r="D201">
        <v>73</v>
      </c>
      <c r="E201">
        <v>68</v>
      </c>
      <c r="F201">
        <v>69</v>
      </c>
      <c r="G201">
        <v>70</v>
      </c>
      <c r="H201">
        <v>77</v>
      </c>
      <c r="I201">
        <v>71</v>
      </c>
      <c r="J201">
        <v>74</v>
      </c>
      <c r="K201">
        <v>74</v>
      </c>
      <c r="L201">
        <v>72</v>
      </c>
      <c r="N201">
        <v>93</v>
      </c>
      <c r="O201" s="107">
        <f>SUM(C201:N201)/11</f>
        <v>74</v>
      </c>
      <c r="P201" s="107">
        <f t="shared" si="44"/>
        <v>-14.833333333333329</v>
      </c>
      <c r="Q201" s="111">
        <f t="shared" si="43"/>
        <v>-0.16697936210131328</v>
      </c>
    </row>
    <row r="202" spans="2:17" x14ac:dyDescent="0.2">
      <c r="B202" t="s">
        <v>285</v>
      </c>
      <c r="C202">
        <v>95</v>
      </c>
      <c r="D202">
        <v>93</v>
      </c>
      <c r="E202">
        <v>89</v>
      </c>
      <c r="F202">
        <v>84</v>
      </c>
      <c r="G202">
        <v>84</v>
      </c>
      <c r="H202">
        <v>86</v>
      </c>
      <c r="I202">
        <v>87</v>
      </c>
      <c r="J202">
        <v>84</v>
      </c>
      <c r="K202">
        <v>86</v>
      </c>
      <c r="L202">
        <v>89</v>
      </c>
      <c r="M202">
        <v>91</v>
      </c>
      <c r="N202">
        <v>96</v>
      </c>
      <c r="O202" s="107">
        <f t="shared" ref="O202:O211" si="45">SUM(C202:N202)/12</f>
        <v>88.666666666666671</v>
      </c>
      <c r="P202" s="107">
        <f t="shared" si="44"/>
        <v>14.666666666666671</v>
      </c>
      <c r="Q202" s="111">
        <f t="shared" si="43"/>
        <v>0.19819819819819826</v>
      </c>
    </row>
    <row r="203" spans="2:17" x14ac:dyDescent="0.2">
      <c r="B203" t="s">
        <v>354</v>
      </c>
      <c r="C203">
        <v>100</v>
      </c>
      <c r="D203">
        <v>99</v>
      </c>
      <c r="E203">
        <v>98</v>
      </c>
      <c r="F203">
        <v>99</v>
      </c>
      <c r="G203">
        <v>98</v>
      </c>
      <c r="H203">
        <v>99</v>
      </c>
      <c r="I203">
        <v>101</v>
      </c>
      <c r="J203">
        <v>102</v>
      </c>
      <c r="K203">
        <v>101</v>
      </c>
      <c r="L203">
        <v>102</v>
      </c>
      <c r="M203">
        <v>103</v>
      </c>
      <c r="N203">
        <v>107</v>
      </c>
      <c r="O203" s="107">
        <f t="shared" si="45"/>
        <v>100.75</v>
      </c>
      <c r="P203" s="107">
        <f t="shared" si="44"/>
        <v>12.083333333333329</v>
      </c>
      <c r="Q203" s="111">
        <f t="shared" si="43"/>
        <v>0.13627819548872175</v>
      </c>
    </row>
    <row r="204" spans="2:17" x14ac:dyDescent="0.2">
      <c r="B204" t="s">
        <v>381</v>
      </c>
      <c r="C204">
        <v>108</v>
      </c>
      <c r="D204">
        <v>108</v>
      </c>
      <c r="E204">
        <v>109</v>
      </c>
      <c r="F204">
        <v>106</v>
      </c>
      <c r="G204">
        <v>102</v>
      </c>
      <c r="H204">
        <v>100</v>
      </c>
      <c r="I204">
        <v>97</v>
      </c>
      <c r="J204">
        <v>94</v>
      </c>
      <c r="K204">
        <v>98</v>
      </c>
      <c r="L204">
        <v>100</v>
      </c>
      <c r="M204">
        <v>105</v>
      </c>
      <c r="N204">
        <v>101</v>
      </c>
      <c r="O204" s="107">
        <f t="shared" si="45"/>
        <v>102.33333333333333</v>
      </c>
      <c r="P204" s="107">
        <f t="shared" si="44"/>
        <v>1.5833333333333286</v>
      </c>
      <c r="Q204" s="111">
        <f t="shared" si="43"/>
        <v>1.5715467328370508E-2</v>
      </c>
    </row>
    <row r="205" spans="2:17" x14ac:dyDescent="0.2">
      <c r="B205" t="s">
        <v>435</v>
      </c>
      <c r="C205">
        <v>100</v>
      </c>
      <c r="D205">
        <v>100</v>
      </c>
      <c r="E205">
        <v>101</v>
      </c>
      <c r="F205">
        <v>94</v>
      </c>
      <c r="G205">
        <v>95</v>
      </c>
      <c r="H205">
        <v>102</v>
      </c>
      <c r="I205">
        <v>97</v>
      </c>
      <c r="J205">
        <v>96</v>
      </c>
      <c r="K205">
        <v>95</v>
      </c>
      <c r="L205">
        <v>97</v>
      </c>
      <c r="M205">
        <v>98</v>
      </c>
      <c r="N205">
        <v>97</v>
      </c>
      <c r="O205" s="107">
        <f t="shared" si="45"/>
        <v>97.666666666666671</v>
      </c>
      <c r="P205" s="107">
        <f t="shared" si="44"/>
        <v>-4.6666666666666572</v>
      </c>
      <c r="Q205" s="111">
        <f t="shared" si="43"/>
        <v>-4.5602605863192092E-2</v>
      </c>
    </row>
    <row r="206" spans="2:17" x14ac:dyDescent="0.2">
      <c r="B206" t="s">
        <v>451</v>
      </c>
      <c r="C206">
        <v>92</v>
      </c>
      <c r="D206">
        <v>97</v>
      </c>
      <c r="E206">
        <v>96</v>
      </c>
      <c r="F206">
        <v>95</v>
      </c>
      <c r="G206">
        <v>94</v>
      </c>
      <c r="H206">
        <v>93</v>
      </c>
      <c r="I206">
        <v>92</v>
      </c>
      <c r="J206">
        <v>94</v>
      </c>
      <c r="K206">
        <v>96</v>
      </c>
      <c r="L206">
        <v>90</v>
      </c>
      <c r="M206">
        <v>89</v>
      </c>
      <c r="N206">
        <v>85</v>
      </c>
      <c r="O206" s="107">
        <f t="shared" si="45"/>
        <v>92.75</v>
      </c>
      <c r="P206" s="107">
        <f t="shared" si="44"/>
        <v>-4.9166666666666714</v>
      </c>
      <c r="Q206" s="111">
        <f t="shared" si="43"/>
        <v>-5.0341296928327693E-2</v>
      </c>
    </row>
    <row r="207" spans="2:17" x14ac:dyDescent="0.2">
      <c r="B207" t="s">
        <v>452</v>
      </c>
      <c r="C207">
        <v>84</v>
      </c>
      <c r="D207">
        <v>85</v>
      </c>
      <c r="E207">
        <v>82</v>
      </c>
      <c r="F207">
        <v>86</v>
      </c>
      <c r="G207">
        <v>87</v>
      </c>
      <c r="H207">
        <v>88</v>
      </c>
      <c r="I207">
        <v>89</v>
      </c>
      <c r="J207">
        <v>89</v>
      </c>
      <c r="K207">
        <v>90</v>
      </c>
      <c r="L207">
        <v>88</v>
      </c>
      <c r="M207">
        <v>90</v>
      </c>
      <c r="N207">
        <v>90</v>
      </c>
      <c r="O207" s="107">
        <f t="shared" si="45"/>
        <v>87.333333333333329</v>
      </c>
      <c r="P207" s="107">
        <f t="shared" si="44"/>
        <v>-5.4166666666666714</v>
      </c>
      <c r="Q207" s="111">
        <f t="shared" si="43"/>
        <v>-5.8400718778077322E-2</v>
      </c>
    </row>
    <row r="208" spans="2:17" x14ac:dyDescent="0.2">
      <c r="B208" t="s">
        <v>674</v>
      </c>
      <c r="C208">
        <v>92</v>
      </c>
      <c r="D208">
        <v>85</v>
      </c>
      <c r="E208">
        <v>90</v>
      </c>
      <c r="F208">
        <v>89</v>
      </c>
      <c r="G208">
        <v>88</v>
      </c>
      <c r="H208">
        <v>86</v>
      </c>
      <c r="I208">
        <v>83</v>
      </c>
      <c r="J208">
        <v>86</v>
      </c>
      <c r="K208">
        <v>82</v>
      </c>
      <c r="L208">
        <v>83</v>
      </c>
      <c r="M208">
        <v>87</v>
      </c>
      <c r="N208">
        <v>77</v>
      </c>
      <c r="O208" s="107">
        <f t="shared" si="45"/>
        <v>85.666666666666671</v>
      </c>
      <c r="P208" s="107">
        <f t="shared" si="44"/>
        <v>-1.6666666666666572</v>
      </c>
      <c r="Q208" s="111">
        <f t="shared" si="43"/>
        <v>-1.9083969465648748E-2</v>
      </c>
    </row>
    <row r="209" spans="1:18" x14ac:dyDescent="0.2">
      <c r="B209" t="s">
        <v>675</v>
      </c>
      <c r="C209">
        <v>75</v>
      </c>
      <c r="D209">
        <v>68</v>
      </c>
      <c r="E209">
        <v>69</v>
      </c>
      <c r="F209">
        <v>67</v>
      </c>
      <c r="G209">
        <v>62</v>
      </c>
      <c r="H209">
        <v>60</v>
      </c>
      <c r="I209">
        <v>59</v>
      </c>
      <c r="J209">
        <v>51</v>
      </c>
      <c r="K209">
        <v>54</v>
      </c>
      <c r="L209">
        <v>56</v>
      </c>
      <c r="M209">
        <v>88</v>
      </c>
      <c r="N209">
        <v>80</v>
      </c>
      <c r="O209" s="107">
        <f t="shared" si="45"/>
        <v>65.75</v>
      </c>
      <c r="P209" s="107">
        <f t="shared" si="44"/>
        <v>-19.916666666666671</v>
      </c>
      <c r="Q209" s="111">
        <f t="shared" si="43"/>
        <v>-0.23249027237354089</v>
      </c>
    </row>
    <row r="210" spans="1:18" x14ac:dyDescent="0.2">
      <c r="B210" t="s">
        <v>729</v>
      </c>
      <c r="C210">
        <v>81</v>
      </c>
      <c r="D210">
        <v>79</v>
      </c>
      <c r="E210">
        <v>74</v>
      </c>
      <c r="F210">
        <v>68</v>
      </c>
      <c r="G210">
        <v>65</v>
      </c>
      <c r="H210">
        <v>67</v>
      </c>
      <c r="I210">
        <v>76</v>
      </c>
      <c r="J210">
        <v>45</v>
      </c>
      <c r="K210">
        <v>80</v>
      </c>
      <c r="L210">
        <v>80</v>
      </c>
      <c r="M210">
        <v>82</v>
      </c>
      <c r="N210">
        <v>87</v>
      </c>
      <c r="O210" s="107">
        <f t="shared" si="45"/>
        <v>73.666666666666671</v>
      </c>
      <c r="P210" s="107">
        <f t="shared" si="44"/>
        <v>7.9166666666666714</v>
      </c>
      <c r="Q210" s="111">
        <f t="shared" si="43"/>
        <v>0.12040557667934101</v>
      </c>
      <c r="R210" t="s">
        <v>776</v>
      </c>
    </row>
    <row r="211" spans="1:18" x14ac:dyDescent="0.2">
      <c r="B211" s="525" t="s">
        <v>775</v>
      </c>
      <c r="C211">
        <v>11</v>
      </c>
      <c r="D211">
        <v>11</v>
      </c>
      <c r="E211">
        <v>9</v>
      </c>
      <c r="F211">
        <v>83</v>
      </c>
      <c r="G211">
        <v>72</v>
      </c>
      <c r="H211">
        <v>81</v>
      </c>
      <c r="I211">
        <v>88</v>
      </c>
      <c r="J211">
        <v>93</v>
      </c>
      <c r="K211">
        <v>101</v>
      </c>
      <c r="L211">
        <v>60</v>
      </c>
      <c r="M211">
        <v>63</v>
      </c>
      <c r="N211">
        <v>64</v>
      </c>
      <c r="O211" s="107">
        <f t="shared" si="45"/>
        <v>61.333333333333336</v>
      </c>
      <c r="P211" s="107">
        <f t="shared" si="44"/>
        <v>-12.333333333333336</v>
      </c>
      <c r="Q211" s="111">
        <f t="shared" si="43"/>
        <v>-0.16742081447963802</v>
      </c>
    </row>
    <row r="212" spans="1:18" x14ac:dyDescent="0.2">
      <c r="B212" s="525" t="s">
        <v>800</v>
      </c>
      <c r="C212">
        <v>66</v>
      </c>
      <c r="O212" s="107"/>
      <c r="P212" s="107"/>
      <c r="Q212" s="111"/>
    </row>
    <row r="213" spans="1:18" ht="25.5" x14ac:dyDescent="0.2">
      <c r="A213" s="109" t="s">
        <v>364</v>
      </c>
      <c r="B213" s="110" t="s">
        <v>335</v>
      </c>
      <c r="C213" s="112" t="s">
        <v>336</v>
      </c>
      <c r="D213" s="112" t="s">
        <v>337</v>
      </c>
      <c r="E213" s="112" t="s">
        <v>338</v>
      </c>
      <c r="F213" s="112" t="s">
        <v>339</v>
      </c>
      <c r="G213" s="112" t="s">
        <v>340</v>
      </c>
      <c r="H213" s="112" t="s">
        <v>341</v>
      </c>
      <c r="I213" s="112" t="s">
        <v>342</v>
      </c>
      <c r="J213" s="112" t="s">
        <v>343</v>
      </c>
      <c r="K213" s="112" t="s">
        <v>344</v>
      </c>
      <c r="L213" s="112" t="s">
        <v>345</v>
      </c>
      <c r="M213" s="112" t="s">
        <v>346</v>
      </c>
      <c r="N213" s="112" t="s">
        <v>347</v>
      </c>
    </row>
    <row r="214" spans="1:18" x14ac:dyDescent="0.2">
      <c r="B214" t="s">
        <v>351</v>
      </c>
      <c r="C214">
        <v>69</v>
      </c>
      <c r="D214">
        <v>69</v>
      </c>
      <c r="E214">
        <v>69</v>
      </c>
      <c r="F214">
        <v>69</v>
      </c>
      <c r="G214">
        <v>56</v>
      </c>
      <c r="H214">
        <v>58</v>
      </c>
      <c r="I214">
        <v>57</v>
      </c>
      <c r="J214">
        <v>58</v>
      </c>
      <c r="K214">
        <v>56</v>
      </c>
      <c r="L214">
        <v>62</v>
      </c>
      <c r="M214">
        <v>57</v>
      </c>
      <c r="N214">
        <v>58</v>
      </c>
      <c r="O214" s="107">
        <f t="shared" ref="O214:O234" si="46">SUM(C214:N214)/12</f>
        <v>61.5</v>
      </c>
      <c r="P214" s="107"/>
    </row>
    <row r="215" spans="1:18" x14ac:dyDescent="0.2">
      <c r="B215" t="s">
        <v>352</v>
      </c>
      <c r="C215">
        <v>52</v>
      </c>
      <c r="D215">
        <v>56</v>
      </c>
      <c r="E215">
        <v>51</v>
      </c>
      <c r="F215">
        <v>57</v>
      </c>
      <c r="G215">
        <v>60</v>
      </c>
      <c r="H215">
        <v>58</v>
      </c>
      <c r="I215">
        <v>62</v>
      </c>
      <c r="J215">
        <v>63</v>
      </c>
      <c r="K215">
        <v>59</v>
      </c>
      <c r="L215">
        <v>59</v>
      </c>
      <c r="M215">
        <v>62</v>
      </c>
      <c r="N215">
        <v>60</v>
      </c>
      <c r="O215" s="107">
        <f t="shared" si="46"/>
        <v>58.25</v>
      </c>
      <c r="P215" s="107">
        <f t="shared" ref="P215:P222" si="47">SUM(O215-O214)</f>
        <v>-3.25</v>
      </c>
      <c r="Q215" s="111">
        <f t="shared" ref="Q215:Q221" si="48">SUM(P215/O214)</f>
        <v>-5.2845528455284556E-2</v>
      </c>
    </row>
    <row r="216" spans="1:18" x14ac:dyDescent="0.2">
      <c r="B216" t="s">
        <v>353</v>
      </c>
      <c r="C216">
        <v>60</v>
      </c>
      <c r="D216">
        <v>55</v>
      </c>
      <c r="E216">
        <v>57</v>
      </c>
      <c r="F216">
        <v>55</v>
      </c>
      <c r="G216">
        <v>55</v>
      </c>
      <c r="H216">
        <v>52</v>
      </c>
      <c r="I216">
        <v>60</v>
      </c>
      <c r="J216">
        <v>72</v>
      </c>
      <c r="K216">
        <v>77</v>
      </c>
      <c r="L216">
        <v>82</v>
      </c>
      <c r="M216">
        <v>87</v>
      </c>
      <c r="N216">
        <v>92</v>
      </c>
      <c r="O216" s="107">
        <f t="shared" si="46"/>
        <v>67</v>
      </c>
      <c r="P216" s="107">
        <f t="shared" si="47"/>
        <v>8.75</v>
      </c>
      <c r="Q216" s="111">
        <f t="shared" si="48"/>
        <v>0.15021459227467812</v>
      </c>
    </row>
    <row r="217" spans="1:18" x14ac:dyDescent="0.2">
      <c r="B217" t="s">
        <v>230</v>
      </c>
      <c r="C217">
        <v>87</v>
      </c>
      <c r="D217">
        <v>86</v>
      </c>
      <c r="E217">
        <v>88</v>
      </c>
      <c r="F217">
        <v>86</v>
      </c>
      <c r="G217">
        <v>86</v>
      </c>
      <c r="H217">
        <v>86</v>
      </c>
      <c r="I217">
        <v>86</v>
      </c>
      <c r="J217">
        <v>86</v>
      </c>
      <c r="K217">
        <v>86</v>
      </c>
      <c r="L217">
        <v>86</v>
      </c>
      <c r="M217">
        <v>86</v>
      </c>
      <c r="N217">
        <v>86</v>
      </c>
      <c r="O217" s="107">
        <f t="shared" si="46"/>
        <v>86.25</v>
      </c>
      <c r="P217" s="107">
        <f t="shared" si="47"/>
        <v>19.25</v>
      </c>
      <c r="Q217" s="111">
        <f t="shared" si="48"/>
        <v>0.28731343283582089</v>
      </c>
    </row>
    <row r="218" spans="1:18" x14ac:dyDescent="0.2">
      <c r="B218" t="s">
        <v>229</v>
      </c>
      <c r="C218">
        <v>93</v>
      </c>
      <c r="D218">
        <v>80</v>
      </c>
      <c r="E218">
        <v>78</v>
      </c>
      <c r="F218">
        <v>78</v>
      </c>
      <c r="G218">
        <v>84</v>
      </c>
      <c r="H218">
        <v>90</v>
      </c>
      <c r="I218">
        <v>88</v>
      </c>
      <c r="J218">
        <v>92</v>
      </c>
      <c r="K218">
        <v>94</v>
      </c>
      <c r="L218">
        <v>84</v>
      </c>
      <c r="M218">
        <v>84</v>
      </c>
      <c r="N218">
        <v>85</v>
      </c>
      <c r="O218" s="107">
        <f t="shared" si="46"/>
        <v>85.833333333333329</v>
      </c>
      <c r="P218" s="107">
        <f t="shared" si="47"/>
        <v>-0.4166666666666714</v>
      </c>
      <c r="Q218" s="111">
        <f t="shared" si="48"/>
        <v>-4.8309178743961905E-3</v>
      </c>
    </row>
    <row r="219" spans="1:18" x14ac:dyDescent="0.2">
      <c r="B219" t="s">
        <v>234</v>
      </c>
      <c r="C219">
        <v>80</v>
      </c>
      <c r="D219">
        <v>84</v>
      </c>
      <c r="E219">
        <v>85</v>
      </c>
      <c r="F219">
        <v>88</v>
      </c>
      <c r="G219">
        <v>90</v>
      </c>
      <c r="H219">
        <v>95</v>
      </c>
      <c r="I219">
        <v>101</v>
      </c>
      <c r="J219">
        <v>94</v>
      </c>
      <c r="K219">
        <v>90</v>
      </c>
      <c r="L219">
        <v>93</v>
      </c>
      <c r="M219">
        <v>101</v>
      </c>
      <c r="N219">
        <v>107</v>
      </c>
      <c r="O219" s="107">
        <f t="shared" si="46"/>
        <v>92.333333333333329</v>
      </c>
      <c r="P219" s="107">
        <f t="shared" si="47"/>
        <v>6.5</v>
      </c>
      <c r="Q219" s="111">
        <f t="shared" si="48"/>
        <v>7.5728155339805828E-2</v>
      </c>
    </row>
    <row r="220" spans="1:18" x14ac:dyDescent="0.2">
      <c r="B220" t="s">
        <v>238</v>
      </c>
      <c r="C220">
        <v>112</v>
      </c>
      <c r="D220">
        <v>110</v>
      </c>
      <c r="E220">
        <v>108</v>
      </c>
      <c r="F220">
        <v>113</v>
      </c>
      <c r="G220">
        <v>112</v>
      </c>
      <c r="H220">
        <v>108</v>
      </c>
      <c r="I220">
        <v>107</v>
      </c>
      <c r="J220">
        <v>123</v>
      </c>
      <c r="K220">
        <v>114</v>
      </c>
      <c r="L220">
        <v>116</v>
      </c>
      <c r="M220">
        <v>117</v>
      </c>
      <c r="N220">
        <v>121</v>
      </c>
      <c r="O220" s="107">
        <f t="shared" si="46"/>
        <v>113.41666666666667</v>
      </c>
      <c r="P220" s="107">
        <f t="shared" si="47"/>
        <v>21.083333333333343</v>
      </c>
      <c r="Q220" s="111">
        <f t="shared" si="48"/>
        <v>0.22833935018050552</v>
      </c>
    </row>
    <row r="221" spans="1:18" x14ac:dyDescent="0.2">
      <c r="B221" t="s">
        <v>239</v>
      </c>
      <c r="C221">
        <v>121</v>
      </c>
      <c r="D221">
        <v>122</v>
      </c>
      <c r="E221">
        <v>122</v>
      </c>
      <c r="F221">
        <v>126</v>
      </c>
      <c r="G221">
        <v>124</v>
      </c>
      <c r="H221">
        <v>122</v>
      </c>
      <c r="I221">
        <v>124</v>
      </c>
      <c r="J221">
        <v>122</v>
      </c>
      <c r="K221">
        <v>121</v>
      </c>
      <c r="L221">
        <v>115</v>
      </c>
      <c r="M221">
        <v>114</v>
      </c>
      <c r="N221">
        <v>121</v>
      </c>
      <c r="O221" s="107">
        <f t="shared" si="46"/>
        <v>121.16666666666667</v>
      </c>
      <c r="P221" s="107">
        <f t="shared" si="47"/>
        <v>7.75</v>
      </c>
      <c r="Q221" s="111">
        <f t="shared" si="48"/>
        <v>6.8332108743570902E-2</v>
      </c>
    </row>
    <row r="222" spans="1:18" x14ac:dyDescent="0.2">
      <c r="B222" t="s">
        <v>240</v>
      </c>
      <c r="C222">
        <v>99</v>
      </c>
      <c r="D222">
        <v>100</v>
      </c>
      <c r="E222">
        <v>107</v>
      </c>
      <c r="F222">
        <v>104</v>
      </c>
      <c r="G222">
        <v>103</v>
      </c>
      <c r="H222">
        <v>100</v>
      </c>
      <c r="I222">
        <v>101</v>
      </c>
      <c r="J222">
        <v>98</v>
      </c>
      <c r="K222">
        <v>92</v>
      </c>
      <c r="L222">
        <v>85</v>
      </c>
      <c r="M222">
        <v>92</v>
      </c>
      <c r="N222">
        <v>88</v>
      </c>
      <c r="O222" s="107">
        <f t="shared" si="46"/>
        <v>97.416666666666671</v>
      </c>
      <c r="P222" s="107">
        <f t="shared" si="47"/>
        <v>-23.75</v>
      </c>
      <c r="Q222" s="111">
        <f t="shared" ref="Q222:Q234" si="49">SUM(P222/O221)</f>
        <v>-0.19601100412654746</v>
      </c>
    </row>
    <row r="223" spans="1:18" x14ac:dyDescent="0.2">
      <c r="B223" t="s">
        <v>241</v>
      </c>
      <c r="C223">
        <v>79</v>
      </c>
      <c r="D223">
        <v>82</v>
      </c>
      <c r="E223">
        <v>82</v>
      </c>
      <c r="F223">
        <v>78</v>
      </c>
      <c r="G223">
        <v>79</v>
      </c>
      <c r="H223">
        <v>83</v>
      </c>
      <c r="I223">
        <v>84</v>
      </c>
      <c r="J223">
        <v>90</v>
      </c>
      <c r="K223">
        <v>95</v>
      </c>
      <c r="L223">
        <v>94</v>
      </c>
      <c r="M223">
        <v>94</v>
      </c>
      <c r="N223">
        <v>72</v>
      </c>
      <c r="O223" s="107">
        <f t="shared" si="46"/>
        <v>84.333333333333329</v>
      </c>
      <c r="P223" s="107">
        <f t="shared" ref="P223:P234" si="50">SUM(O223-O222)</f>
        <v>-13.083333333333343</v>
      </c>
      <c r="Q223" s="111">
        <f t="shared" si="49"/>
        <v>-0.13430282292557752</v>
      </c>
    </row>
    <row r="224" spans="1:18" x14ac:dyDescent="0.2">
      <c r="B224" t="s">
        <v>266</v>
      </c>
      <c r="C224">
        <v>84</v>
      </c>
      <c r="D224">
        <v>87</v>
      </c>
      <c r="E224">
        <v>92</v>
      </c>
      <c r="F224">
        <v>97</v>
      </c>
      <c r="G224">
        <v>101</v>
      </c>
      <c r="H224">
        <v>100</v>
      </c>
      <c r="I224">
        <v>85</v>
      </c>
      <c r="J224">
        <v>86</v>
      </c>
      <c r="K224">
        <v>90</v>
      </c>
      <c r="L224">
        <v>89</v>
      </c>
      <c r="M224">
        <v>83</v>
      </c>
      <c r="N224">
        <v>82</v>
      </c>
      <c r="O224" s="107">
        <f t="shared" si="46"/>
        <v>89.666666666666671</v>
      </c>
      <c r="P224" s="107">
        <f t="shared" si="50"/>
        <v>5.3333333333333428</v>
      </c>
      <c r="Q224" s="111">
        <f t="shared" si="49"/>
        <v>6.324110671936771E-2</v>
      </c>
    </row>
    <row r="225" spans="1:17" x14ac:dyDescent="0.2">
      <c r="B225" t="s">
        <v>285</v>
      </c>
      <c r="C225">
        <v>87</v>
      </c>
      <c r="D225">
        <v>86</v>
      </c>
      <c r="E225">
        <v>87</v>
      </c>
      <c r="F225">
        <v>77</v>
      </c>
      <c r="G225">
        <v>76</v>
      </c>
      <c r="H225">
        <v>73</v>
      </c>
      <c r="I225">
        <v>69</v>
      </c>
      <c r="J225">
        <v>75</v>
      </c>
      <c r="K225">
        <v>74</v>
      </c>
      <c r="L225">
        <v>74</v>
      </c>
      <c r="M225">
        <v>72</v>
      </c>
      <c r="N225">
        <v>73</v>
      </c>
      <c r="O225" s="107">
        <f t="shared" si="46"/>
        <v>76.916666666666671</v>
      </c>
      <c r="P225" s="107">
        <f t="shared" si="50"/>
        <v>-12.75</v>
      </c>
      <c r="Q225" s="111">
        <f t="shared" si="49"/>
        <v>-0.14219330855018586</v>
      </c>
    </row>
    <row r="226" spans="1:17" x14ac:dyDescent="0.2">
      <c r="B226" t="s">
        <v>354</v>
      </c>
      <c r="C226">
        <v>74</v>
      </c>
      <c r="D226">
        <v>71</v>
      </c>
      <c r="E226">
        <v>77</v>
      </c>
      <c r="F226">
        <v>76</v>
      </c>
      <c r="G226">
        <v>78</v>
      </c>
      <c r="H226">
        <v>71</v>
      </c>
      <c r="I226">
        <v>69</v>
      </c>
      <c r="J226">
        <v>64</v>
      </c>
      <c r="K226">
        <v>62</v>
      </c>
      <c r="L226">
        <v>55</v>
      </c>
      <c r="M226">
        <v>55</v>
      </c>
      <c r="N226">
        <v>54</v>
      </c>
      <c r="O226" s="107">
        <f t="shared" si="46"/>
        <v>67.166666666666671</v>
      </c>
      <c r="P226" s="107">
        <f t="shared" si="50"/>
        <v>-9.75</v>
      </c>
      <c r="Q226" s="111">
        <f t="shared" si="49"/>
        <v>-0.12676056338028169</v>
      </c>
    </row>
    <row r="227" spans="1:17" x14ac:dyDescent="0.2">
      <c r="B227" t="s">
        <v>381</v>
      </c>
      <c r="C227">
        <v>59</v>
      </c>
      <c r="D227">
        <v>57</v>
      </c>
      <c r="E227">
        <v>54</v>
      </c>
      <c r="F227">
        <v>53</v>
      </c>
      <c r="G227">
        <v>56</v>
      </c>
      <c r="H227">
        <v>62</v>
      </c>
      <c r="I227">
        <v>55</v>
      </c>
      <c r="J227">
        <v>50</v>
      </c>
      <c r="K227">
        <v>49</v>
      </c>
      <c r="L227">
        <v>51</v>
      </c>
      <c r="M227">
        <v>52</v>
      </c>
      <c r="N227">
        <v>50</v>
      </c>
      <c r="O227" s="107">
        <f t="shared" si="46"/>
        <v>54</v>
      </c>
      <c r="P227" s="107">
        <f t="shared" si="50"/>
        <v>-13.166666666666671</v>
      </c>
      <c r="Q227" s="111">
        <f t="shared" si="49"/>
        <v>-0.19602977667493801</v>
      </c>
    </row>
    <row r="228" spans="1:17" x14ac:dyDescent="0.2">
      <c r="B228" t="s">
        <v>435</v>
      </c>
      <c r="C228">
        <v>54</v>
      </c>
      <c r="D228">
        <v>57</v>
      </c>
      <c r="E228">
        <v>63</v>
      </c>
      <c r="F228">
        <v>64</v>
      </c>
      <c r="G228">
        <v>67</v>
      </c>
      <c r="H228">
        <v>65</v>
      </c>
      <c r="I228">
        <v>65</v>
      </c>
      <c r="J228">
        <v>65</v>
      </c>
      <c r="K228">
        <v>67</v>
      </c>
      <c r="L228">
        <v>66</v>
      </c>
      <c r="M228">
        <v>66</v>
      </c>
      <c r="N228">
        <v>69</v>
      </c>
      <c r="O228" s="107">
        <f t="shared" si="46"/>
        <v>64</v>
      </c>
      <c r="P228" s="107">
        <f t="shared" si="50"/>
        <v>10</v>
      </c>
      <c r="Q228" s="111">
        <f t="shared" si="49"/>
        <v>0.18518518518518517</v>
      </c>
    </row>
    <row r="229" spans="1:17" x14ac:dyDescent="0.2">
      <c r="B229" t="s">
        <v>451</v>
      </c>
      <c r="C229">
        <v>65</v>
      </c>
      <c r="D229">
        <v>59</v>
      </c>
      <c r="E229">
        <v>54</v>
      </c>
      <c r="F229">
        <v>55</v>
      </c>
      <c r="G229">
        <v>55</v>
      </c>
      <c r="H229">
        <v>58</v>
      </c>
      <c r="I229">
        <v>57</v>
      </c>
      <c r="J229">
        <v>57</v>
      </c>
      <c r="K229">
        <v>58</v>
      </c>
      <c r="L229">
        <v>58</v>
      </c>
      <c r="M229">
        <v>67</v>
      </c>
      <c r="N229">
        <v>66</v>
      </c>
      <c r="O229" s="107">
        <f t="shared" si="46"/>
        <v>59.083333333333336</v>
      </c>
      <c r="P229" s="107">
        <f t="shared" si="50"/>
        <v>-4.9166666666666643</v>
      </c>
      <c r="Q229" s="111">
        <f t="shared" si="49"/>
        <v>-7.682291666666663E-2</v>
      </c>
    </row>
    <row r="230" spans="1:17" x14ac:dyDescent="0.2">
      <c r="B230" t="s">
        <v>452</v>
      </c>
      <c r="C230">
        <v>66</v>
      </c>
      <c r="D230">
        <v>61</v>
      </c>
      <c r="E230">
        <v>46</v>
      </c>
      <c r="F230">
        <v>43</v>
      </c>
      <c r="G230">
        <v>41</v>
      </c>
      <c r="H230">
        <v>37</v>
      </c>
      <c r="I230">
        <v>40</v>
      </c>
      <c r="J230">
        <v>39</v>
      </c>
      <c r="K230">
        <v>38</v>
      </c>
      <c r="L230">
        <v>37</v>
      </c>
      <c r="M230">
        <v>37</v>
      </c>
      <c r="N230">
        <v>34</v>
      </c>
      <c r="O230" s="107">
        <f t="shared" si="46"/>
        <v>43.25</v>
      </c>
      <c r="P230" s="107">
        <f t="shared" si="50"/>
        <v>-15.833333333333336</v>
      </c>
      <c r="Q230" s="111">
        <f t="shared" si="49"/>
        <v>-0.26798307475317351</v>
      </c>
    </row>
    <row r="231" spans="1:17" x14ac:dyDescent="0.2">
      <c r="B231" t="s">
        <v>674</v>
      </c>
      <c r="C231">
        <v>38</v>
      </c>
      <c r="D231">
        <v>38</v>
      </c>
      <c r="E231">
        <v>34</v>
      </c>
      <c r="F231">
        <v>33</v>
      </c>
      <c r="G231">
        <v>32</v>
      </c>
      <c r="H231">
        <v>32</v>
      </c>
      <c r="I231">
        <v>34</v>
      </c>
      <c r="J231">
        <v>31</v>
      </c>
      <c r="K231">
        <v>31</v>
      </c>
      <c r="L231">
        <v>38</v>
      </c>
      <c r="M231">
        <v>39</v>
      </c>
      <c r="N231">
        <v>37</v>
      </c>
      <c r="O231" s="107">
        <f t="shared" si="46"/>
        <v>34.75</v>
      </c>
      <c r="P231" s="107">
        <f t="shared" si="50"/>
        <v>-8.5</v>
      </c>
      <c r="Q231" s="111">
        <f t="shared" si="49"/>
        <v>-0.19653179190751446</v>
      </c>
    </row>
    <row r="232" spans="1:17" x14ac:dyDescent="0.2">
      <c r="B232" t="s">
        <v>675</v>
      </c>
      <c r="C232">
        <v>37</v>
      </c>
      <c r="D232">
        <v>38</v>
      </c>
      <c r="E232">
        <v>33</v>
      </c>
      <c r="F232">
        <v>35</v>
      </c>
      <c r="G232">
        <v>40</v>
      </c>
      <c r="H232">
        <v>42</v>
      </c>
      <c r="I232">
        <v>45</v>
      </c>
      <c r="J232">
        <v>45</v>
      </c>
      <c r="K232">
        <v>42</v>
      </c>
      <c r="L232">
        <v>40</v>
      </c>
      <c r="M232">
        <v>38</v>
      </c>
      <c r="N232">
        <v>39</v>
      </c>
      <c r="O232" s="107">
        <f t="shared" si="46"/>
        <v>39.5</v>
      </c>
      <c r="P232" s="107">
        <f t="shared" si="50"/>
        <v>4.75</v>
      </c>
      <c r="Q232" s="111">
        <f t="shared" si="49"/>
        <v>0.1366906474820144</v>
      </c>
    </row>
    <row r="233" spans="1:17" x14ac:dyDescent="0.2">
      <c r="B233" t="s">
        <v>729</v>
      </c>
      <c r="C233">
        <v>36</v>
      </c>
      <c r="D233">
        <v>0</v>
      </c>
      <c r="E233">
        <v>0</v>
      </c>
      <c r="F233">
        <v>35</v>
      </c>
      <c r="G233">
        <v>35</v>
      </c>
      <c r="H233">
        <v>38</v>
      </c>
      <c r="I233">
        <v>39</v>
      </c>
      <c r="J233">
        <v>43</v>
      </c>
      <c r="K233">
        <v>46</v>
      </c>
      <c r="L233">
        <v>42</v>
      </c>
      <c r="M233">
        <v>41</v>
      </c>
      <c r="N233">
        <v>43</v>
      </c>
      <c r="O233" s="107">
        <f t="shared" si="46"/>
        <v>33.166666666666664</v>
      </c>
      <c r="P233" s="107">
        <f t="shared" si="50"/>
        <v>-6.3333333333333357</v>
      </c>
      <c r="Q233" s="111">
        <f t="shared" si="49"/>
        <v>-0.1603375527426161</v>
      </c>
    </row>
    <row r="234" spans="1:17" x14ac:dyDescent="0.2">
      <c r="B234" s="525" t="s">
        <v>775</v>
      </c>
      <c r="C234">
        <v>46</v>
      </c>
      <c r="D234">
        <v>47</v>
      </c>
      <c r="E234">
        <v>43</v>
      </c>
      <c r="F234">
        <v>44</v>
      </c>
      <c r="G234">
        <v>46</v>
      </c>
      <c r="H234">
        <v>47</v>
      </c>
      <c r="I234">
        <v>54</v>
      </c>
      <c r="J234">
        <v>52</v>
      </c>
      <c r="K234">
        <v>60</v>
      </c>
      <c r="L234">
        <v>57</v>
      </c>
      <c r="M234">
        <v>59</v>
      </c>
      <c r="N234">
        <v>56</v>
      </c>
      <c r="O234" s="107">
        <f t="shared" si="46"/>
        <v>50.916666666666664</v>
      </c>
      <c r="P234" s="107">
        <f t="shared" si="50"/>
        <v>17.75</v>
      </c>
      <c r="Q234" s="111">
        <f t="shared" si="49"/>
        <v>0.53517587939698497</v>
      </c>
    </row>
    <row r="235" spans="1:17" x14ac:dyDescent="0.2">
      <c r="B235" s="525" t="s">
        <v>800</v>
      </c>
      <c r="C235">
        <v>53</v>
      </c>
      <c r="O235" s="107"/>
      <c r="P235" s="107"/>
      <c r="Q235" s="111"/>
    </row>
    <row r="236" spans="1:17" x14ac:dyDescent="0.2">
      <c r="A236" s="420"/>
      <c r="B236" s="420"/>
      <c r="C236" s="420"/>
      <c r="D236" s="420"/>
      <c r="E236" s="420"/>
      <c r="F236" s="420"/>
      <c r="G236" s="420"/>
      <c r="H236" s="420"/>
      <c r="I236" s="420"/>
      <c r="J236" s="420"/>
      <c r="K236" s="420"/>
      <c r="L236" s="420"/>
      <c r="M236" s="420"/>
      <c r="N236" s="420"/>
      <c r="O236" s="420"/>
      <c r="P236" s="420"/>
      <c r="Q236" s="420"/>
    </row>
    <row r="237" spans="1:17" ht="25.5" x14ac:dyDescent="0.2">
      <c r="A237" s="109" t="s">
        <v>365</v>
      </c>
      <c r="B237" s="110" t="s">
        <v>335</v>
      </c>
      <c r="C237" s="112" t="s">
        <v>336</v>
      </c>
      <c r="D237" s="112" t="s">
        <v>337</v>
      </c>
      <c r="E237" s="112" t="s">
        <v>338</v>
      </c>
      <c r="F237" s="112" t="s">
        <v>339</v>
      </c>
      <c r="G237" s="112" t="s">
        <v>340</v>
      </c>
      <c r="H237" s="112" t="s">
        <v>341</v>
      </c>
      <c r="I237" s="112" t="s">
        <v>342</v>
      </c>
      <c r="J237" s="112" t="s">
        <v>343</v>
      </c>
      <c r="K237" s="112" t="s">
        <v>344</v>
      </c>
      <c r="L237" s="112" t="s">
        <v>345</v>
      </c>
      <c r="M237" s="112" t="s">
        <v>346</v>
      </c>
      <c r="N237" s="112" t="s">
        <v>347</v>
      </c>
    </row>
    <row r="238" spans="1:17" x14ac:dyDescent="0.2">
      <c r="B238" t="s">
        <v>351</v>
      </c>
      <c r="C238">
        <v>92</v>
      </c>
      <c r="D238">
        <v>91</v>
      </c>
      <c r="E238">
        <v>97</v>
      </c>
      <c r="F238">
        <v>94</v>
      </c>
      <c r="G238">
        <v>87</v>
      </c>
      <c r="H238">
        <v>85</v>
      </c>
      <c r="I238">
        <v>91</v>
      </c>
      <c r="J238">
        <v>89</v>
      </c>
      <c r="K238">
        <v>92</v>
      </c>
      <c r="L238">
        <v>92</v>
      </c>
      <c r="M238">
        <v>94</v>
      </c>
      <c r="N238">
        <v>92</v>
      </c>
      <c r="O238" s="107">
        <f t="shared" ref="O238:O258" si="51">SUM(C238:N238)/12</f>
        <v>91.333333333333329</v>
      </c>
      <c r="P238" s="107"/>
    </row>
    <row r="239" spans="1:17" x14ac:dyDescent="0.2">
      <c r="B239" t="s">
        <v>352</v>
      </c>
      <c r="C239">
        <v>90</v>
      </c>
      <c r="D239">
        <v>98</v>
      </c>
      <c r="E239">
        <v>89</v>
      </c>
      <c r="F239">
        <v>84</v>
      </c>
      <c r="G239">
        <v>84</v>
      </c>
      <c r="H239">
        <v>78</v>
      </c>
      <c r="I239">
        <v>83</v>
      </c>
      <c r="J239">
        <v>87</v>
      </c>
      <c r="K239">
        <v>81</v>
      </c>
      <c r="L239">
        <v>81</v>
      </c>
      <c r="M239">
        <v>77</v>
      </c>
      <c r="N239">
        <v>79</v>
      </c>
      <c r="O239" s="107">
        <f t="shared" si="51"/>
        <v>84.25</v>
      </c>
      <c r="P239" s="107">
        <f t="shared" ref="P239:P246" si="52">SUM(O239-O238)</f>
        <v>-7.0833333333333286</v>
      </c>
      <c r="Q239" s="111">
        <f t="shared" ref="Q239:Q245" si="53">SUM(P239/O238)</f>
        <v>-7.7554744525547392E-2</v>
      </c>
    </row>
    <row r="240" spans="1:17" x14ac:dyDescent="0.2">
      <c r="B240" t="s">
        <v>353</v>
      </c>
      <c r="C240">
        <v>81</v>
      </c>
      <c r="D240">
        <v>78</v>
      </c>
      <c r="E240">
        <v>73</v>
      </c>
      <c r="F240">
        <v>77</v>
      </c>
      <c r="G240">
        <v>86</v>
      </c>
      <c r="H240">
        <v>96</v>
      </c>
      <c r="I240">
        <v>84</v>
      </c>
      <c r="J240">
        <v>72</v>
      </c>
      <c r="K240">
        <v>74</v>
      </c>
      <c r="L240">
        <v>76</v>
      </c>
      <c r="M240">
        <v>78</v>
      </c>
      <c r="N240">
        <v>88</v>
      </c>
      <c r="O240" s="107">
        <f t="shared" si="51"/>
        <v>80.25</v>
      </c>
      <c r="P240" s="107">
        <f t="shared" si="52"/>
        <v>-4</v>
      </c>
      <c r="Q240" s="111">
        <f t="shared" si="53"/>
        <v>-4.7477744807121663E-2</v>
      </c>
    </row>
    <row r="241" spans="2:17" x14ac:dyDescent="0.2">
      <c r="B241" t="s">
        <v>230</v>
      </c>
      <c r="C241">
        <v>98</v>
      </c>
      <c r="D241">
        <v>98</v>
      </c>
      <c r="E241">
        <v>100</v>
      </c>
      <c r="F241">
        <v>93</v>
      </c>
      <c r="G241">
        <v>93</v>
      </c>
      <c r="H241">
        <v>93</v>
      </c>
      <c r="I241">
        <v>93</v>
      </c>
      <c r="J241">
        <v>93</v>
      </c>
      <c r="K241">
        <v>93</v>
      </c>
      <c r="L241">
        <v>93</v>
      </c>
      <c r="M241">
        <v>93</v>
      </c>
      <c r="N241">
        <v>93</v>
      </c>
      <c r="O241" s="107">
        <f t="shared" si="51"/>
        <v>94.416666666666671</v>
      </c>
      <c r="P241" s="107">
        <f t="shared" si="52"/>
        <v>14.166666666666671</v>
      </c>
      <c r="Q241" s="111">
        <f t="shared" si="53"/>
        <v>0.17653167185877472</v>
      </c>
    </row>
    <row r="242" spans="2:17" x14ac:dyDescent="0.2">
      <c r="B242" t="s">
        <v>229</v>
      </c>
      <c r="C242">
        <v>106</v>
      </c>
      <c r="D242">
        <v>90</v>
      </c>
      <c r="E242">
        <v>91</v>
      </c>
      <c r="F242">
        <v>91</v>
      </c>
      <c r="G242">
        <v>87</v>
      </c>
      <c r="H242">
        <v>80</v>
      </c>
      <c r="I242">
        <v>76</v>
      </c>
      <c r="J242">
        <v>78</v>
      </c>
      <c r="K242">
        <v>83</v>
      </c>
      <c r="L242">
        <v>92</v>
      </c>
      <c r="M242">
        <v>99</v>
      </c>
      <c r="N242">
        <v>101</v>
      </c>
      <c r="O242" s="107">
        <f t="shared" si="51"/>
        <v>89.5</v>
      </c>
      <c r="P242" s="107">
        <f t="shared" si="52"/>
        <v>-4.9166666666666714</v>
      </c>
      <c r="Q242" s="111">
        <f t="shared" si="53"/>
        <v>-5.2074139452780277E-2</v>
      </c>
    </row>
    <row r="243" spans="2:17" x14ac:dyDescent="0.2">
      <c r="B243" t="s">
        <v>234</v>
      </c>
      <c r="C243">
        <v>93</v>
      </c>
      <c r="D243">
        <v>90</v>
      </c>
      <c r="E243">
        <v>91</v>
      </c>
      <c r="F243">
        <v>94</v>
      </c>
      <c r="G243">
        <v>91</v>
      </c>
      <c r="H243">
        <v>91</v>
      </c>
      <c r="I243">
        <v>93</v>
      </c>
      <c r="J243">
        <v>90</v>
      </c>
      <c r="K243">
        <v>83</v>
      </c>
      <c r="L243">
        <v>84</v>
      </c>
      <c r="M243">
        <v>79</v>
      </c>
      <c r="N243">
        <v>77</v>
      </c>
      <c r="O243" s="107">
        <f t="shared" si="51"/>
        <v>88</v>
      </c>
      <c r="P243" s="107">
        <f t="shared" si="52"/>
        <v>-1.5</v>
      </c>
      <c r="Q243" s="111">
        <f t="shared" si="53"/>
        <v>-1.6759776536312849E-2</v>
      </c>
    </row>
    <row r="244" spans="2:17" x14ac:dyDescent="0.2">
      <c r="B244" t="s">
        <v>238</v>
      </c>
      <c r="C244">
        <v>79</v>
      </c>
      <c r="D244">
        <v>78</v>
      </c>
      <c r="E244">
        <v>74</v>
      </c>
      <c r="F244">
        <v>69</v>
      </c>
      <c r="G244">
        <v>66</v>
      </c>
      <c r="H244">
        <v>62</v>
      </c>
      <c r="I244">
        <v>59</v>
      </c>
      <c r="J244">
        <v>64</v>
      </c>
      <c r="K244">
        <v>59</v>
      </c>
      <c r="L244">
        <v>55</v>
      </c>
      <c r="M244">
        <v>61</v>
      </c>
      <c r="N244">
        <v>64</v>
      </c>
      <c r="O244" s="107">
        <f t="shared" si="51"/>
        <v>65.833333333333329</v>
      </c>
      <c r="P244" s="107">
        <f t="shared" si="52"/>
        <v>-22.166666666666671</v>
      </c>
      <c r="Q244" s="111">
        <f t="shared" si="53"/>
        <v>-0.25189393939393945</v>
      </c>
    </row>
    <row r="245" spans="2:17" x14ac:dyDescent="0.2">
      <c r="B245" t="s">
        <v>239</v>
      </c>
      <c r="C245">
        <v>68</v>
      </c>
      <c r="D245">
        <v>67</v>
      </c>
      <c r="E245">
        <v>71</v>
      </c>
      <c r="F245">
        <v>72</v>
      </c>
      <c r="G245">
        <v>81</v>
      </c>
      <c r="H245">
        <v>85</v>
      </c>
      <c r="I245">
        <v>85</v>
      </c>
      <c r="J245">
        <v>85</v>
      </c>
      <c r="K245">
        <v>73</v>
      </c>
      <c r="L245">
        <v>82</v>
      </c>
      <c r="M245">
        <v>78</v>
      </c>
      <c r="N245">
        <v>80</v>
      </c>
      <c r="O245" s="107">
        <f t="shared" si="51"/>
        <v>77.25</v>
      </c>
      <c r="P245" s="107">
        <f t="shared" si="52"/>
        <v>11.416666666666671</v>
      </c>
      <c r="Q245" s="111">
        <f t="shared" si="53"/>
        <v>0.17341772151898743</v>
      </c>
    </row>
    <row r="246" spans="2:17" x14ac:dyDescent="0.2">
      <c r="B246" t="s">
        <v>240</v>
      </c>
      <c r="C246">
        <v>77</v>
      </c>
      <c r="D246">
        <v>75</v>
      </c>
      <c r="E246">
        <v>74</v>
      </c>
      <c r="F246">
        <v>75</v>
      </c>
      <c r="G246">
        <v>75</v>
      </c>
      <c r="H246">
        <v>77</v>
      </c>
      <c r="I246">
        <v>81</v>
      </c>
      <c r="J246">
        <v>79</v>
      </c>
      <c r="K246">
        <v>79</v>
      </c>
      <c r="L246">
        <v>79</v>
      </c>
      <c r="M246">
        <v>80</v>
      </c>
      <c r="N246">
        <v>76</v>
      </c>
      <c r="O246" s="107">
        <f t="shared" si="51"/>
        <v>77.25</v>
      </c>
      <c r="P246" s="107">
        <f t="shared" si="52"/>
        <v>0</v>
      </c>
      <c r="Q246" s="111">
        <f t="shared" ref="Q246:Q258" si="54">SUM(P246/O245)</f>
        <v>0</v>
      </c>
    </row>
    <row r="247" spans="2:17" x14ac:dyDescent="0.2">
      <c r="B247" t="s">
        <v>241</v>
      </c>
      <c r="C247">
        <v>68</v>
      </c>
      <c r="D247">
        <v>66</v>
      </c>
      <c r="E247">
        <v>65</v>
      </c>
      <c r="F247">
        <v>61</v>
      </c>
      <c r="G247">
        <v>59</v>
      </c>
      <c r="H247">
        <v>57</v>
      </c>
      <c r="I247">
        <v>55</v>
      </c>
      <c r="J247">
        <v>56</v>
      </c>
      <c r="K247">
        <v>58</v>
      </c>
      <c r="L247">
        <v>60</v>
      </c>
      <c r="M247">
        <v>61</v>
      </c>
      <c r="N247">
        <v>62</v>
      </c>
      <c r="O247" s="107">
        <f t="shared" si="51"/>
        <v>60.666666666666664</v>
      </c>
      <c r="P247" s="107">
        <f t="shared" ref="P247:P258" si="55">SUM(O247-O246)</f>
        <v>-16.583333333333336</v>
      </c>
      <c r="Q247" s="111">
        <f t="shared" si="54"/>
        <v>-0.21467098166127296</v>
      </c>
    </row>
    <row r="248" spans="2:17" x14ac:dyDescent="0.2">
      <c r="B248" t="s">
        <v>266</v>
      </c>
      <c r="C248">
        <v>58</v>
      </c>
      <c r="D248">
        <v>59</v>
      </c>
      <c r="E248">
        <v>55</v>
      </c>
      <c r="F248">
        <v>68</v>
      </c>
      <c r="G248">
        <v>62</v>
      </c>
      <c r="H248">
        <v>58</v>
      </c>
      <c r="I248">
        <v>55</v>
      </c>
      <c r="J248">
        <v>58</v>
      </c>
      <c r="K248">
        <v>59</v>
      </c>
      <c r="L248">
        <v>57</v>
      </c>
      <c r="M248">
        <v>52</v>
      </c>
      <c r="N248">
        <v>54</v>
      </c>
      <c r="O248" s="107">
        <f t="shared" si="51"/>
        <v>57.916666666666664</v>
      </c>
      <c r="P248" s="107">
        <f t="shared" si="55"/>
        <v>-2.75</v>
      </c>
      <c r="Q248" s="111">
        <f t="shared" si="54"/>
        <v>-4.5329670329670328E-2</v>
      </c>
    </row>
    <row r="249" spans="2:17" x14ac:dyDescent="0.2">
      <c r="B249" t="s">
        <v>285</v>
      </c>
      <c r="C249">
        <v>55</v>
      </c>
      <c r="D249">
        <v>55</v>
      </c>
      <c r="E249">
        <v>49</v>
      </c>
      <c r="F249">
        <v>51</v>
      </c>
      <c r="G249">
        <v>53</v>
      </c>
      <c r="H249">
        <v>57</v>
      </c>
      <c r="I249">
        <v>63</v>
      </c>
      <c r="J249">
        <v>65</v>
      </c>
      <c r="K249">
        <v>65</v>
      </c>
      <c r="L249">
        <v>61</v>
      </c>
      <c r="M249">
        <v>66</v>
      </c>
      <c r="N249">
        <v>63</v>
      </c>
      <c r="O249" s="107">
        <f t="shared" si="51"/>
        <v>58.583333333333336</v>
      </c>
      <c r="P249" s="107">
        <f t="shared" si="55"/>
        <v>0.6666666666666714</v>
      </c>
      <c r="Q249" s="111">
        <f t="shared" si="54"/>
        <v>1.1510791366906557E-2</v>
      </c>
    </row>
    <row r="250" spans="2:17" x14ac:dyDescent="0.2">
      <c r="B250" t="s">
        <v>354</v>
      </c>
      <c r="C250">
        <v>63</v>
      </c>
      <c r="D250">
        <v>66</v>
      </c>
      <c r="E250">
        <v>66</v>
      </c>
      <c r="F250">
        <v>59</v>
      </c>
      <c r="G250">
        <v>69</v>
      </c>
      <c r="H250">
        <v>72</v>
      </c>
      <c r="I250">
        <v>76</v>
      </c>
      <c r="J250">
        <v>75</v>
      </c>
      <c r="K250">
        <v>81</v>
      </c>
      <c r="L250">
        <v>82</v>
      </c>
      <c r="M250">
        <v>70</v>
      </c>
      <c r="N250">
        <v>80</v>
      </c>
      <c r="O250" s="107">
        <f t="shared" si="51"/>
        <v>71.583333333333329</v>
      </c>
      <c r="P250" s="107">
        <f t="shared" si="55"/>
        <v>12.999999999999993</v>
      </c>
      <c r="Q250" s="111">
        <f t="shared" si="54"/>
        <v>0.22190611664295862</v>
      </c>
    </row>
    <row r="251" spans="2:17" x14ac:dyDescent="0.2">
      <c r="B251" t="s">
        <v>381</v>
      </c>
      <c r="C251">
        <v>72</v>
      </c>
      <c r="D251">
        <v>71</v>
      </c>
      <c r="E251">
        <v>74</v>
      </c>
      <c r="F251">
        <v>75</v>
      </c>
      <c r="G251">
        <v>69</v>
      </c>
      <c r="H251">
        <v>74</v>
      </c>
      <c r="I251">
        <v>72</v>
      </c>
      <c r="J251">
        <v>74</v>
      </c>
      <c r="K251">
        <v>79</v>
      </c>
      <c r="L251">
        <v>82</v>
      </c>
      <c r="M251">
        <v>87</v>
      </c>
      <c r="N251">
        <v>87</v>
      </c>
      <c r="O251" s="107">
        <f t="shared" si="51"/>
        <v>76.333333333333329</v>
      </c>
      <c r="P251" s="107">
        <f t="shared" si="55"/>
        <v>4.75</v>
      </c>
      <c r="Q251" s="111">
        <f t="shared" si="54"/>
        <v>6.6356228172293363E-2</v>
      </c>
    </row>
    <row r="252" spans="2:17" x14ac:dyDescent="0.2">
      <c r="B252" t="s">
        <v>435</v>
      </c>
      <c r="C252">
        <v>94</v>
      </c>
      <c r="D252">
        <v>94</v>
      </c>
      <c r="E252">
        <v>101</v>
      </c>
      <c r="F252">
        <v>108</v>
      </c>
      <c r="G252">
        <v>108</v>
      </c>
      <c r="H252">
        <v>107</v>
      </c>
      <c r="I252">
        <v>98</v>
      </c>
      <c r="J252">
        <v>97</v>
      </c>
      <c r="K252">
        <v>96</v>
      </c>
      <c r="L252">
        <v>98</v>
      </c>
      <c r="M252">
        <v>100</v>
      </c>
      <c r="N252">
        <v>101</v>
      </c>
      <c r="O252" s="107">
        <f t="shared" si="51"/>
        <v>100.16666666666667</v>
      </c>
      <c r="P252" s="107">
        <f t="shared" si="55"/>
        <v>23.833333333333343</v>
      </c>
      <c r="Q252" s="111">
        <f t="shared" si="54"/>
        <v>0.31222707423580798</v>
      </c>
    </row>
    <row r="253" spans="2:17" x14ac:dyDescent="0.2">
      <c r="B253" t="s">
        <v>451</v>
      </c>
      <c r="C253">
        <v>101</v>
      </c>
      <c r="D253">
        <v>96</v>
      </c>
      <c r="E253">
        <v>102</v>
      </c>
      <c r="F253">
        <v>105</v>
      </c>
      <c r="G253">
        <v>103</v>
      </c>
      <c r="H253">
        <v>104</v>
      </c>
      <c r="I253">
        <v>101</v>
      </c>
      <c r="J253">
        <v>103</v>
      </c>
      <c r="K253">
        <v>94</v>
      </c>
      <c r="L253">
        <v>106</v>
      </c>
      <c r="M253">
        <v>101</v>
      </c>
      <c r="N253">
        <v>100</v>
      </c>
      <c r="O253" s="107">
        <f t="shared" si="51"/>
        <v>101.33333333333333</v>
      </c>
      <c r="P253" s="107">
        <f t="shared" si="55"/>
        <v>1.1666666666666572</v>
      </c>
      <c r="Q253" s="111">
        <f t="shared" si="54"/>
        <v>1.1647254575707059E-2</v>
      </c>
    </row>
    <row r="254" spans="2:17" x14ac:dyDescent="0.2">
      <c r="B254" t="s">
        <v>452</v>
      </c>
      <c r="C254">
        <v>95</v>
      </c>
      <c r="D254">
        <v>93</v>
      </c>
      <c r="E254">
        <v>93</v>
      </c>
      <c r="F254">
        <v>97</v>
      </c>
      <c r="G254">
        <v>93</v>
      </c>
      <c r="H254">
        <v>91</v>
      </c>
      <c r="I254">
        <v>92</v>
      </c>
      <c r="J254">
        <v>91</v>
      </c>
      <c r="K254">
        <v>87</v>
      </c>
      <c r="L254">
        <v>88</v>
      </c>
      <c r="M254">
        <v>86</v>
      </c>
      <c r="N254">
        <v>84</v>
      </c>
      <c r="O254" s="107">
        <f t="shared" si="51"/>
        <v>90.833333333333329</v>
      </c>
      <c r="P254" s="107">
        <f t="shared" si="55"/>
        <v>-10.5</v>
      </c>
      <c r="Q254" s="111">
        <f t="shared" si="54"/>
        <v>-0.10361842105263158</v>
      </c>
    </row>
    <row r="255" spans="2:17" x14ac:dyDescent="0.2">
      <c r="B255" t="s">
        <v>674</v>
      </c>
      <c r="C255">
        <v>89</v>
      </c>
      <c r="D255">
        <v>94</v>
      </c>
      <c r="E255">
        <v>94</v>
      </c>
      <c r="F255">
        <v>92</v>
      </c>
      <c r="G255">
        <v>93</v>
      </c>
      <c r="H255">
        <v>98</v>
      </c>
      <c r="I255">
        <v>98</v>
      </c>
      <c r="J255">
        <v>96</v>
      </c>
      <c r="K255">
        <v>101</v>
      </c>
      <c r="L255">
        <v>100</v>
      </c>
      <c r="M255">
        <v>98</v>
      </c>
      <c r="N255">
        <v>99</v>
      </c>
      <c r="O255" s="107">
        <f t="shared" si="51"/>
        <v>96</v>
      </c>
      <c r="P255" s="107">
        <f t="shared" si="55"/>
        <v>5.1666666666666714</v>
      </c>
      <c r="Q255" s="111">
        <f t="shared" si="54"/>
        <v>5.688073394495418E-2</v>
      </c>
    </row>
    <row r="256" spans="2:17" x14ac:dyDescent="0.2">
      <c r="B256" t="s">
        <v>675</v>
      </c>
      <c r="C256">
        <v>92</v>
      </c>
      <c r="D256">
        <v>89</v>
      </c>
      <c r="E256">
        <v>90</v>
      </c>
      <c r="F256">
        <v>95</v>
      </c>
      <c r="G256">
        <v>89</v>
      </c>
      <c r="H256">
        <v>85</v>
      </c>
      <c r="I256">
        <v>87</v>
      </c>
      <c r="J256">
        <v>85</v>
      </c>
      <c r="K256">
        <v>87</v>
      </c>
      <c r="L256">
        <v>93</v>
      </c>
      <c r="M256">
        <v>90</v>
      </c>
      <c r="N256">
        <v>88</v>
      </c>
      <c r="O256" s="107">
        <f t="shared" si="51"/>
        <v>89.166666666666671</v>
      </c>
      <c r="P256" s="107">
        <f t="shared" si="55"/>
        <v>-6.8333333333333286</v>
      </c>
      <c r="Q256" s="111">
        <f t="shared" si="54"/>
        <v>-7.1180555555555511E-2</v>
      </c>
    </row>
    <row r="257" spans="1:17" x14ac:dyDescent="0.2">
      <c r="B257" t="s">
        <v>729</v>
      </c>
      <c r="C257">
        <v>92</v>
      </c>
      <c r="D257">
        <v>90</v>
      </c>
      <c r="E257">
        <v>95</v>
      </c>
      <c r="F257">
        <v>94</v>
      </c>
      <c r="G257">
        <v>97</v>
      </c>
      <c r="H257">
        <v>97</v>
      </c>
      <c r="I257">
        <v>87</v>
      </c>
      <c r="J257">
        <v>90</v>
      </c>
      <c r="K257">
        <v>90</v>
      </c>
      <c r="L257">
        <v>82</v>
      </c>
      <c r="M257">
        <v>87</v>
      </c>
      <c r="N257">
        <v>83</v>
      </c>
      <c r="O257" s="107">
        <f t="shared" si="51"/>
        <v>90.333333333333329</v>
      </c>
      <c r="P257" s="107">
        <f t="shared" si="55"/>
        <v>1.1666666666666572</v>
      </c>
      <c r="Q257" s="111">
        <f t="shared" si="54"/>
        <v>1.3084112149532603E-2</v>
      </c>
    </row>
    <row r="258" spans="1:17" x14ac:dyDescent="0.2">
      <c r="B258" s="525" t="s">
        <v>775</v>
      </c>
      <c r="C258">
        <v>84</v>
      </c>
      <c r="D258">
        <v>88</v>
      </c>
      <c r="E258">
        <v>91</v>
      </c>
      <c r="F258">
        <v>93</v>
      </c>
      <c r="G258">
        <v>93</v>
      </c>
      <c r="H258">
        <v>91</v>
      </c>
      <c r="I258">
        <v>87</v>
      </c>
      <c r="J258">
        <v>88</v>
      </c>
      <c r="K258">
        <v>87</v>
      </c>
      <c r="L258">
        <v>88</v>
      </c>
      <c r="M258">
        <v>89</v>
      </c>
      <c r="N258">
        <v>89</v>
      </c>
      <c r="O258" s="107">
        <f t="shared" si="51"/>
        <v>89</v>
      </c>
      <c r="P258" s="107">
        <f t="shared" si="55"/>
        <v>-1.3333333333333286</v>
      </c>
      <c r="Q258" s="111">
        <f t="shared" si="54"/>
        <v>-1.4760147601475962E-2</v>
      </c>
    </row>
    <row r="259" spans="1:17" x14ac:dyDescent="0.2">
      <c r="B259" s="525" t="s">
        <v>800</v>
      </c>
      <c r="C259">
        <v>88</v>
      </c>
      <c r="O259" s="107"/>
      <c r="P259" s="107"/>
      <c r="Q259" s="111"/>
    </row>
    <row r="260" spans="1:17" ht="25.5" x14ac:dyDescent="0.2">
      <c r="A260" s="109" t="s">
        <v>366</v>
      </c>
      <c r="B260" s="110" t="s">
        <v>335</v>
      </c>
      <c r="C260" s="112" t="s">
        <v>336</v>
      </c>
      <c r="D260" s="112" t="s">
        <v>337</v>
      </c>
      <c r="E260" s="112" t="s">
        <v>338</v>
      </c>
      <c r="F260" s="112" t="s">
        <v>339</v>
      </c>
      <c r="G260" s="112" t="s">
        <v>340</v>
      </c>
      <c r="H260" s="112" t="s">
        <v>341</v>
      </c>
      <c r="I260" s="112" t="s">
        <v>342</v>
      </c>
      <c r="J260" s="112" t="s">
        <v>343</v>
      </c>
      <c r="K260" s="112" t="s">
        <v>344</v>
      </c>
      <c r="L260" s="112" t="s">
        <v>345</v>
      </c>
      <c r="M260" s="112" t="s">
        <v>346</v>
      </c>
      <c r="N260" s="112" t="s">
        <v>347</v>
      </c>
    </row>
    <row r="261" spans="1:17" x14ac:dyDescent="0.2">
      <c r="B261" t="s">
        <v>351</v>
      </c>
      <c r="C261">
        <v>438</v>
      </c>
      <c r="D261">
        <v>444</v>
      </c>
      <c r="E261">
        <v>446</v>
      </c>
      <c r="F261">
        <v>441</v>
      </c>
      <c r="G261">
        <v>444</v>
      </c>
      <c r="H261">
        <v>449</v>
      </c>
      <c r="I261">
        <v>447</v>
      </c>
      <c r="J261">
        <v>460</v>
      </c>
      <c r="K261">
        <v>465</v>
      </c>
      <c r="L261">
        <v>463</v>
      </c>
      <c r="M261">
        <v>469</v>
      </c>
      <c r="N261">
        <v>478</v>
      </c>
      <c r="O261" s="107">
        <f t="shared" ref="O261:O281" si="56">SUM(C261:N261)/12</f>
        <v>453.66666666666669</v>
      </c>
      <c r="P261" s="107"/>
    </row>
    <row r="262" spans="1:17" x14ac:dyDescent="0.2">
      <c r="B262" t="s">
        <v>352</v>
      </c>
      <c r="C262">
        <v>474</v>
      </c>
      <c r="D262">
        <v>481</v>
      </c>
      <c r="E262">
        <v>491</v>
      </c>
      <c r="F262">
        <v>478</v>
      </c>
      <c r="G262">
        <v>472</v>
      </c>
      <c r="H262">
        <v>477</v>
      </c>
      <c r="I262">
        <v>476</v>
      </c>
      <c r="J262">
        <v>470</v>
      </c>
      <c r="K262">
        <v>467</v>
      </c>
      <c r="L262">
        <v>480</v>
      </c>
      <c r="M262">
        <v>461</v>
      </c>
      <c r="N262">
        <v>449</v>
      </c>
      <c r="O262" s="107">
        <f t="shared" si="56"/>
        <v>473</v>
      </c>
      <c r="P262" s="107">
        <f t="shared" ref="P262:P269" si="57">SUM(O262-O261)</f>
        <v>19.333333333333314</v>
      </c>
      <c r="Q262" s="111">
        <f t="shared" ref="Q262:Q268" si="58">SUM(P262/O261)</f>
        <v>4.261572373254955E-2</v>
      </c>
    </row>
    <row r="263" spans="1:17" x14ac:dyDescent="0.2">
      <c r="B263" t="s">
        <v>353</v>
      </c>
      <c r="C263">
        <v>463</v>
      </c>
      <c r="D263">
        <v>474</v>
      </c>
      <c r="E263">
        <v>480</v>
      </c>
      <c r="F263">
        <v>457</v>
      </c>
      <c r="G263">
        <v>459</v>
      </c>
      <c r="H263">
        <v>469</v>
      </c>
      <c r="I263">
        <v>460</v>
      </c>
      <c r="J263">
        <v>446</v>
      </c>
      <c r="K263">
        <v>457</v>
      </c>
      <c r="L263">
        <v>468</v>
      </c>
      <c r="M263">
        <v>479</v>
      </c>
      <c r="N263">
        <v>490</v>
      </c>
      <c r="O263" s="107">
        <f t="shared" si="56"/>
        <v>466.83333333333331</v>
      </c>
      <c r="P263" s="107">
        <f t="shared" si="57"/>
        <v>-6.1666666666666856</v>
      </c>
      <c r="Q263" s="111">
        <f t="shared" si="58"/>
        <v>-1.3037350246652613E-2</v>
      </c>
    </row>
    <row r="264" spans="1:17" x14ac:dyDescent="0.2">
      <c r="B264" t="s">
        <v>230</v>
      </c>
      <c r="C264">
        <v>537</v>
      </c>
      <c r="D264">
        <v>544</v>
      </c>
      <c r="E264">
        <v>514</v>
      </c>
      <c r="F264">
        <v>562</v>
      </c>
      <c r="G264">
        <v>557</v>
      </c>
      <c r="H264">
        <v>551</v>
      </c>
      <c r="I264">
        <v>545</v>
      </c>
      <c r="J264">
        <v>538</v>
      </c>
      <c r="K264">
        <v>525</v>
      </c>
      <c r="L264">
        <v>518</v>
      </c>
      <c r="M264">
        <v>502</v>
      </c>
      <c r="N264">
        <v>506</v>
      </c>
      <c r="O264" s="107">
        <f t="shared" si="56"/>
        <v>533.25</v>
      </c>
      <c r="P264" s="107">
        <f t="shared" si="57"/>
        <v>66.416666666666686</v>
      </c>
      <c r="Q264" s="111">
        <f t="shared" si="58"/>
        <v>0.14227061763655841</v>
      </c>
    </row>
    <row r="265" spans="1:17" x14ac:dyDescent="0.2">
      <c r="B265" t="s">
        <v>229</v>
      </c>
      <c r="C265">
        <v>519</v>
      </c>
      <c r="D265">
        <v>507</v>
      </c>
      <c r="E265">
        <v>516</v>
      </c>
      <c r="F265">
        <v>509</v>
      </c>
      <c r="G265">
        <v>495</v>
      </c>
      <c r="H265">
        <v>503</v>
      </c>
      <c r="I265">
        <v>484</v>
      </c>
      <c r="J265">
        <v>484</v>
      </c>
      <c r="K265">
        <v>477</v>
      </c>
      <c r="L265">
        <v>470</v>
      </c>
      <c r="M265">
        <v>474</v>
      </c>
      <c r="N265">
        <v>464</v>
      </c>
      <c r="O265" s="107">
        <f t="shared" si="56"/>
        <v>491.83333333333331</v>
      </c>
      <c r="P265" s="107">
        <f t="shared" si="57"/>
        <v>-41.416666666666686</v>
      </c>
      <c r="Q265" s="111">
        <f t="shared" si="58"/>
        <v>-7.7668385685263353E-2</v>
      </c>
    </row>
    <row r="266" spans="1:17" x14ac:dyDescent="0.2">
      <c r="B266" t="s">
        <v>234</v>
      </c>
      <c r="C266">
        <v>472</v>
      </c>
      <c r="D266">
        <v>489</v>
      </c>
      <c r="E266">
        <v>468</v>
      </c>
      <c r="F266">
        <v>461</v>
      </c>
      <c r="G266">
        <v>460</v>
      </c>
      <c r="H266">
        <v>449</v>
      </c>
      <c r="I266">
        <v>436</v>
      </c>
      <c r="J266">
        <v>442</v>
      </c>
      <c r="K266">
        <v>445</v>
      </c>
      <c r="L266">
        <v>458</v>
      </c>
      <c r="M266">
        <v>472</v>
      </c>
      <c r="N266">
        <v>480</v>
      </c>
      <c r="O266" s="107">
        <f t="shared" si="56"/>
        <v>461</v>
      </c>
      <c r="P266" s="107">
        <f t="shared" si="57"/>
        <v>-30.833333333333314</v>
      </c>
      <c r="Q266" s="111">
        <f t="shared" si="58"/>
        <v>-6.2690613351406271E-2</v>
      </c>
    </row>
    <row r="267" spans="1:17" x14ac:dyDescent="0.2">
      <c r="B267" t="s">
        <v>238</v>
      </c>
      <c r="C267">
        <v>478</v>
      </c>
      <c r="D267">
        <v>478</v>
      </c>
      <c r="E267">
        <v>474</v>
      </c>
      <c r="F267">
        <v>493</v>
      </c>
      <c r="G267">
        <v>488</v>
      </c>
      <c r="H267">
        <v>495</v>
      </c>
      <c r="I267">
        <v>507</v>
      </c>
      <c r="J267">
        <v>499</v>
      </c>
      <c r="K267">
        <v>500</v>
      </c>
      <c r="L267">
        <v>518</v>
      </c>
      <c r="M267">
        <v>540</v>
      </c>
      <c r="N267">
        <v>551</v>
      </c>
      <c r="O267" s="107">
        <f t="shared" si="56"/>
        <v>501.75</v>
      </c>
      <c r="P267" s="107">
        <f t="shared" si="57"/>
        <v>40.75</v>
      </c>
      <c r="Q267" s="111">
        <f t="shared" si="58"/>
        <v>8.8394793926247286E-2</v>
      </c>
    </row>
    <row r="268" spans="1:17" x14ac:dyDescent="0.2">
      <c r="B268" t="s">
        <v>239</v>
      </c>
      <c r="C268">
        <v>551</v>
      </c>
      <c r="D268">
        <v>536</v>
      </c>
      <c r="E268">
        <v>521</v>
      </c>
      <c r="F268">
        <v>522</v>
      </c>
      <c r="G268">
        <v>527</v>
      </c>
      <c r="H268">
        <v>545</v>
      </c>
      <c r="I268">
        <v>548</v>
      </c>
      <c r="J268">
        <v>549</v>
      </c>
      <c r="K268">
        <v>549</v>
      </c>
      <c r="L268">
        <v>650</v>
      </c>
      <c r="M268">
        <v>666</v>
      </c>
      <c r="N268">
        <v>591</v>
      </c>
      <c r="O268" s="107">
        <f t="shared" si="56"/>
        <v>562.91666666666663</v>
      </c>
      <c r="P268" s="107">
        <f t="shared" si="57"/>
        <v>61.166666666666629</v>
      </c>
      <c r="Q268" s="111">
        <f t="shared" si="58"/>
        <v>0.12190666002325187</v>
      </c>
    </row>
    <row r="269" spans="1:17" x14ac:dyDescent="0.2">
      <c r="B269" t="s">
        <v>240</v>
      </c>
      <c r="C269">
        <v>596</v>
      </c>
      <c r="D269">
        <v>617</v>
      </c>
      <c r="E269">
        <v>722</v>
      </c>
      <c r="F269">
        <v>657</v>
      </c>
      <c r="G269">
        <v>723</v>
      </c>
      <c r="H269">
        <v>717</v>
      </c>
      <c r="I269">
        <v>729</v>
      </c>
      <c r="J269">
        <v>730</v>
      </c>
      <c r="K269">
        <v>721</v>
      </c>
      <c r="L269">
        <v>721</v>
      </c>
      <c r="M269">
        <v>754</v>
      </c>
      <c r="N269">
        <v>770</v>
      </c>
      <c r="O269" s="107">
        <f t="shared" si="56"/>
        <v>704.75</v>
      </c>
      <c r="P269" s="107">
        <f t="shared" si="57"/>
        <v>141.83333333333337</v>
      </c>
      <c r="Q269" s="111">
        <f t="shared" ref="Q269:Q281" si="59">SUM(P269/O268)</f>
        <v>0.25196150999259814</v>
      </c>
    </row>
    <row r="270" spans="1:17" x14ac:dyDescent="0.2">
      <c r="B270" t="s">
        <v>241</v>
      </c>
      <c r="C270">
        <v>711</v>
      </c>
      <c r="D270">
        <v>710</v>
      </c>
      <c r="E270">
        <v>721</v>
      </c>
      <c r="F270">
        <v>726</v>
      </c>
      <c r="G270">
        <v>736</v>
      </c>
      <c r="H270">
        <v>731</v>
      </c>
      <c r="I270">
        <v>722</v>
      </c>
      <c r="J270">
        <v>719</v>
      </c>
      <c r="K270">
        <v>722</v>
      </c>
      <c r="L270">
        <v>750</v>
      </c>
      <c r="M270">
        <v>759</v>
      </c>
      <c r="N270">
        <v>764</v>
      </c>
      <c r="O270" s="107">
        <f t="shared" si="56"/>
        <v>730.91666666666663</v>
      </c>
      <c r="P270" s="107">
        <f t="shared" ref="P270:P281" si="60">SUM(O270-O269)</f>
        <v>26.166666666666629</v>
      </c>
      <c r="Q270" s="111">
        <f t="shared" si="59"/>
        <v>3.7129005557526254E-2</v>
      </c>
    </row>
    <row r="271" spans="1:17" x14ac:dyDescent="0.2">
      <c r="B271" t="s">
        <v>266</v>
      </c>
      <c r="C271">
        <v>750</v>
      </c>
      <c r="D271">
        <v>743</v>
      </c>
      <c r="E271">
        <v>732</v>
      </c>
      <c r="F271">
        <v>728</v>
      </c>
      <c r="G271">
        <v>713</v>
      </c>
      <c r="H271">
        <v>774</v>
      </c>
      <c r="I271">
        <v>746</v>
      </c>
      <c r="J271">
        <v>760</v>
      </c>
      <c r="K271">
        <v>768</v>
      </c>
      <c r="L271">
        <v>783</v>
      </c>
      <c r="M271">
        <v>769</v>
      </c>
      <c r="N271">
        <v>766</v>
      </c>
      <c r="O271" s="107">
        <f t="shared" si="56"/>
        <v>752.66666666666663</v>
      </c>
      <c r="P271" s="107">
        <f t="shared" si="60"/>
        <v>21.75</v>
      </c>
      <c r="Q271" s="111">
        <f t="shared" si="59"/>
        <v>2.9757154258351386E-2</v>
      </c>
    </row>
    <row r="272" spans="1:17" x14ac:dyDescent="0.2">
      <c r="B272" t="s">
        <v>285</v>
      </c>
      <c r="C272">
        <v>793</v>
      </c>
      <c r="D272">
        <v>763</v>
      </c>
      <c r="E272">
        <v>771</v>
      </c>
      <c r="F272">
        <v>782</v>
      </c>
      <c r="G272">
        <v>756</v>
      </c>
      <c r="H272">
        <v>768</v>
      </c>
      <c r="I272">
        <v>763</v>
      </c>
      <c r="J272">
        <v>762</v>
      </c>
      <c r="K272">
        <v>773</v>
      </c>
      <c r="L272">
        <v>776</v>
      </c>
      <c r="M272">
        <v>743</v>
      </c>
      <c r="N272">
        <v>744</v>
      </c>
      <c r="O272" s="107">
        <f t="shared" si="56"/>
        <v>766.16666666666663</v>
      </c>
      <c r="P272" s="107">
        <f t="shared" si="60"/>
        <v>13.5</v>
      </c>
      <c r="Q272" s="111">
        <f t="shared" si="59"/>
        <v>1.7936226749335697E-2</v>
      </c>
    </row>
    <row r="273" spans="1:18" x14ac:dyDescent="0.2">
      <c r="B273" t="s">
        <v>354</v>
      </c>
      <c r="C273">
        <v>746</v>
      </c>
      <c r="D273">
        <v>738</v>
      </c>
      <c r="E273">
        <v>726</v>
      </c>
      <c r="F273">
        <v>723</v>
      </c>
      <c r="G273">
        <v>723</v>
      </c>
      <c r="H273">
        <v>711</v>
      </c>
      <c r="I273">
        <v>722</v>
      </c>
      <c r="J273">
        <v>715</v>
      </c>
      <c r="K273">
        <v>701</v>
      </c>
      <c r="L273">
        <v>696</v>
      </c>
      <c r="M273">
        <v>716</v>
      </c>
      <c r="N273">
        <v>722</v>
      </c>
      <c r="O273" s="107">
        <f t="shared" si="56"/>
        <v>719.91666666666663</v>
      </c>
      <c r="P273" s="107">
        <f t="shared" si="60"/>
        <v>-46.25</v>
      </c>
      <c r="Q273" s="111">
        <f t="shared" si="59"/>
        <v>-6.0365455731999133E-2</v>
      </c>
    </row>
    <row r="274" spans="1:18" x14ac:dyDescent="0.2">
      <c r="B274" t="s">
        <v>381</v>
      </c>
      <c r="C274">
        <v>720</v>
      </c>
      <c r="D274">
        <v>754</v>
      </c>
      <c r="E274">
        <v>702</v>
      </c>
      <c r="F274">
        <v>720</v>
      </c>
      <c r="G274">
        <v>705</v>
      </c>
      <c r="H274">
        <v>715</v>
      </c>
      <c r="I274">
        <v>712</v>
      </c>
      <c r="J274">
        <v>720</v>
      </c>
      <c r="K274">
        <v>712</v>
      </c>
      <c r="L274">
        <v>709</v>
      </c>
      <c r="M274">
        <v>704</v>
      </c>
      <c r="N274">
        <v>720</v>
      </c>
      <c r="O274" s="107">
        <f t="shared" si="56"/>
        <v>716.08333333333337</v>
      </c>
      <c r="P274" s="107">
        <f t="shared" si="60"/>
        <v>-3.8333333333332575</v>
      </c>
      <c r="Q274" s="111">
        <f t="shared" si="59"/>
        <v>-5.3246903576801823E-3</v>
      </c>
    </row>
    <row r="275" spans="1:18" x14ac:dyDescent="0.2">
      <c r="B275" t="s">
        <v>435</v>
      </c>
      <c r="C275">
        <v>726</v>
      </c>
      <c r="D275">
        <v>712</v>
      </c>
      <c r="E275">
        <v>724</v>
      </c>
      <c r="F275">
        <v>708</v>
      </c>
      <c r="G275">
        <v>701</v>
      </c>
      <c r="H275">
        <v>715</v>
      </c>
      <c r="I275">
        <v>708</v>
      </c>
      <c r="J275">
        <v>702</v>
      </c>
      <c r="K275">
        <v>695</v>
      </c>
      <c r="L275">
        <v>713</v>
      </c>
      <c r="M275">
        <v>720</v>
      </c>
      <c r="N275">
        <v>732</v>
      </c>
      <c r="O275" s="107">
        <f t="shared" si="56"/>
        <v>713</v>
      </c>
      <c r="P275" s="107">
        <f t="shared" si="60"/>
        <v>-3.0833333333333712</v>
      </c>
      <c r="Q275" s="111">
        <f t="shared" si="59"/>
        <v>-4.3058303270104101E-3</v>
      </c>
    </row>
    <row r="276" spans="1:18" x14ac:dyDescent="0.2">
      <c r="B276" t="s">
        <v>451</v>
      </c>
      <c r="C276">
        <v>712</v>
      </c>
      <c r="D276">
        <v>705</v>
      </c>
      <c r="E276">
        <v>689</v>
      </c>
      <c r="F276">
        <v>668</v>
      </c>
      <c r="G276">
        <v>662</v>
      </c>
      <c r="H276">
        <v>644</v>
      </c>
      <c r="I276">
        <v>641</v>
      </c>
      <c r="J276">
        <v>629</v>
      </c>
      <c r="K276">
        <v>652</v>
      </c>
      <c r="L276">
        <v>643</v>
      </c>
      <c r="M276">
        <v>652</v>
      </c>
      <c r="N276">
        <v>662</v>
      </c>
      <c r="O276" s="107">
        <f t="shared" si="56"/>
        <v>663.25</v>
      </c>
      <c r="P276" s="107">
        <f t="shared" si="60"/>
        <v>-49.75</v>
      </c>
      <c r="Q276" s="111">
        <f t="shared" si="59"/>
        <v>-6.9775596072931281E-2</v>
      </c>
    </row>
    <row r="277" spans="1:18" x14ac:dyDescent="0.2">
      <c r="B277" t="s">
        <v>452</v>
      </c>
      <c r="C277">
        <v>637</v>
      </c>
      <c r="D277">
        <v>640</v>
      </c>
      <c r="E277">
        <v>638</v>
      </c>
      <c r="F277">
        <v>629</v>
      </c>
      <c r="G277">
        <v>627</v>
      </c>
      <c r="H277">
        <v>647</v>
      </c>
      <c r="I277">
        <v>651</v>
      </c>
      <c r="J277">
        <v>655</v>
      </c>
      <c r="K277">
        <v>640</v>
      </c>
      <c r="L277">
        <v>632</v>
      </c>
      <c r="M277">
        <v>641</v>
      </c>
      <c r="N277">
        <v>644</v>
      </c>
      <c r="O277" s="107">
        <f t="shared" si="56"/>
        <v>640.08333333333337</v>
      </c>
      <c r="P277" s="107">
        <f t="shared" si="60"/>
        <v>-23.166666666666629</v>
      </c>
      <c r="Q277" s="111">
        <f t="shared" si="59"/>
        <v>-3.4929011182309282E-2</v>
      </c>
    </row>
    <row r="278" spans="1:18" x14ac:dyDescent="0.2">
      <c r="B278" t="s">
        <v>674</v>
      </c>
      <c r="C278">
        <v>644</v>
      </c>
      <c r="D278">
        <v>637</v>
      </c>
      <c r="E278">
        <v>610</v>
      </c>
      <c r="F278">
        <v>579</v>
      </c>
      <c r="G278">
        <v>646</v>
      </c>
      <c r="H278">
        <v>640</v>
      </c>
      <c r="I278">
        <v>640</v>
      </c>
      <c r="J278">
        <v>610</v>
      </c>
      <c r="K278">
        <v>588</v>
      </c>
      <c r="L278">
        <v>582</v>
      </c>
      <c r="M278">
        <v>580</v>
      </c>
      <c r="N278">
        <v>582</v>
      </c>
      <c r="O278" s="107">
        <f t="shared" si="56"/>
        <v>611.5</v>
      </c>
      <c r="P278" s="107">
        <f t="shared" si="60"/>
        <v>-28.583333333333371</v>
      </c>
      <c r="Q278" s="111">
        <f t="shared" si="59"/>
        <v>-4.4655643796380734E-2</v>
      </c>
    </row>
    <row r="279" spans="1:18" x14ac:dyDescent="0.2">
      <c r="B279" t="s">
        <v>675</v>
      </c>
      <c r="C279">
        <v>581</v>
      </c>
      <c r="D279">
        <v>542</v>
      </c>
      <c r="E279">
        <v>514</v>
      </c>
      <c r="F279">
        <v>511</v>
      </c>
      <c r="G279">
        <v>493</v>
      </c>
      <c r="H279">
        <v>490</v>
      </c>
      <c r="I279">
        <v>475</v>
      </c>
      <c r="J279">
        <v>454</v>
      </c>
      <c r="K279">
        <v>449</v>
      </c>
      <c r="L279">
        <v>436</v>
      </c>
      <c r="M279">
        <v>443</v>
      </c>
      <c r="N279">
        <v>406</v>
      </c>
      <c r="O279" s="107">
        <f t="shared" si="56"/>
        <v>482.83333333333331</v>
      </c>
      <c r="P279" s="107">
        <f t="shared" si="60"/>
        <v>-128.66666666666669</v>
      </c>
      <c r="Q279" s="111">
        <f t="shared" si="59"/>
        <v>-0.2104115562823658</v>
      </c>
    </row>
    <row r="280" spans="1:18" x14ac:dyDescent="0.2">
      <c r="B280" t="s">
        <v>729</v>
      </c>
      <c r="C280">
        <v>394</v>
      </c>
      <c r="D280">
        <v>390</v>
      </c>
      <c r="E280">
        <v>412</v>
      </c>
      <c r="F280">
        <v>393</v>
      </c>
      <c r="G280">
        <v>374</v>
      </c>
      <c r="H280">
        <v>361</v>
      </c>
      <c r="I280">
        <v>364</v>
      </c>
      <c r="J280">
        <v>367</v>
      </c>
      <c r="K280">
        <v>373</v>
      </c>
      <c r="L280">
        <v>383</v>
      </c>
      <c r="M280">
        <v>401</v>
      </c>
      <c r="N280">
        <v>376</v>
      </c>
      <c r="O280" s="107">
        <f t="shared" si="56"/>
        <v>382.33333333333331</v>
      </c>
      <c r="P280" s="107">
        <f t="shared" si="60"/>
        <v>-100.5</v>
      </c>
      <c r="Q280" s="111">
        <f t="shared" si="59"/>
        <v>-0.20814635830169143</v>
      </c>
    </row>
    <row r="281" spans="1:18" x14ac:dyDescent="0.2">
      <c r="B281" s="525" t="s">
        <v>775</v>
      </c>
      <c r="C281">
        <v>424</v>
      </c>
      <c r="D281">
        <v>436</v>
      </c>
      <c r="E281">
        <v>469</v>
      </c>
      <c r="F281">
        <v>392</v>
      </c>
      <c r="G281">
        <v>397</v>
      </c>
      <c r="H281">
        <v>380</v>
      </c>
      <c r="I281">
        <v>372</v>
      </c>
      <c r="J281">
        <v>382</v>
      </c>
      <c r="K281">
        <v>385</v>
      </c>
      <c r="L281">
        <v>383</v>
      </c>
      <c r="M281">
        <v>398</v>
      </c>
      <c r="N281">
        <v>395</v>
      </c>
      <c r="O281" s="107">
        <f t="shared" si="56"/>
        <v>401.08333333333331</v>
      </c>
      <c r="P281" s="107">
        <f t="shared" si="60"/>
        <v>18.75</v>
      </c>
      <c r="Q281" s="111">
        <f t="shared" si="59"/>
        <v>4.9040976460331301E-2</v>
      </c>
      <c r="R281" t="s">
        <v>802</v>
      </c>
    </row>
    <row r="282" spans="1:18" x14ac:dyDescent="0.2">
      <c r="B282" s="525" t="s">
        <v>800</v>
      </c>
      <c r="C282">
        <v>395</v>
      </c>
      <c r="O282" s="107"/>
      <c r="P282" s="107"/>
      <c r="Q282" s="111"/>
    </row>
    <row r="283" spans="1:18" x14ac:dyDescent="0.2">
      <c r="A283" s="420"/>
      <c r="B283" s="420"/>
      <c r="C283" s="420"/>
      <c r="D283" s="420"/>
      <c r="E283" s="420"/>
      <c r="F283" s="420"/>
      <c r="G283" s="420"/>
      <c r="H283" s="420"/>
      <c r="I283" s="420"/>
      <c r="J283" s="420"/>
      <c r="K283" s="420"/>
      <c r="L283" s="420"/>
      <c r="M283" s="420"/>
      <c r="N283" s="420"/>
      <c r="O283" s="420"/>
      <c r="P283" s="420"/>
      <c r="Q283" s="420"/>
    </row>
    <row r="284" spans="1:18" ht="25.5" x14ac:dyDescent="0.2">
      <c r="A284" s="109" t="s">
        <v>367</v>
      </c>
      <c r="B284" s="110" t="s">
        <v>335</v>
      </c>
      <c r="C284" s="112" t="s">
        <v>336</v>
      </c>
      <c r="D284" s="112" t="s">
        <v>337</v>
      </c>
      <c r="E284" s="112" t="s">
        <v>338</v>
      </c>
      <c r="F284" s="112" t="s">
        <v>339</v>
      </c>
      <c r="G284" s="112" t="s">
        <v>340</v>
      </c>
      <c r="H284" s="112" t="s">
        <v>341</v>
      </c>
      <c r="I284" s="112" t="s">
        <v>342</v>
      </c>
      <c r="J284" s="112" t="s">
        <v>343</v>
      </c>
      <c r="K284" s="112" t="s">
        <v>344</v>
      </c>
      <c r="L284" s="112" t="s">
        <v>345</v>
      </c>
      <c r="M284" s="112" t="s">
        <v>346</v>
      </c>
      <c r="N284" s="112" t="s">
        <v>347</v>
      </c>
    </row>
    <row r="285" spans="1:18" x14ac:dyDescent="0.2">
      <c r="B285" t="s">
        <v>351</v>
      </c>
      <c r="C285">
        <v>51</v>
      </c>
      <c r="D285">
        <v>44</v>
      </c>
      <c r="E285">
        <v>43</v>
      </c>
      <c r="F285">
        <v>39</v>
      </c>
      <c r="G285">
        <v>39</v>
      </c>
      <c r="H285">
        <v>39</v>
      </c>
      <c r="I285">
        <v>43</v>
      </c>
      <c r="J285">
        <v>41</v>
      </c>
      <c r="K285">
        <v>42</v>
      </c>
      <c r="L285">
        <v>42</v>
      </c>
      <c r="M285">
        <v>43</v>
      </c>
      <c r="N285">
        <v>40</v>
      </c>
      <c r="O285" s="107">
        <f t="shared" ref="O285:O305" si="61">SUM(C285:N285)/12</f>
        <v>42.166666666666664</v>
      </c>
      <c r="P285" s="107"/>
    </row>
    <row r="286" spans="1:18" x14ac:dyDescent="0.2">
      <c r="B286" t="s">
        <v>352</v>
      </c>
      <c r="C286">
        <v>43</v>
      </c>
      <c r="D286">
        <v>47</v>
      </c>
      <c r="E286">
        <v>47</v>
      </c>
      <c r="F286">
        <v>51</v>
      </c>
      <c r="G286">
        <v>46</v>
      </c>
      <c r="H286">
        <v>44</v>
      </c>
      <c r="I286">
        <v>48</v>
      </c>
      <c r="J286">
        <v>41</v>
      </c>
      <c r="K286">
        <v>47</v>
      </c>
      <c r="L286">
        <v>44</v>
      </c>
      <c r="M286">
        <v>43</v>
      </c>
      <c r="N286">
        <v>46</v>
      </c>
      <c r="O286" s="107">
        <f t="shared" si="61"/>
        <v>45.583333333333336</v>
      </c>
      <c r="P286" s="107">
        <f t="shared" ref="P286:P293" si="62">SUM(O286-O285)</f>
        <v>3.4166666666666714</v>
      </c>
      <c r="Q286" s="111">
        <f t="shared" ref="Q286:Q292" si="63">SUM(P286/O285)</f>
        <v>8.1027667984189838E-2</v>
      </c>
    </row>
    <row r="287" spans="1:18" x14ac:dyDescent="0.2">
      <c r="B287" t="s">
        <v>353</v>
      </c>
      <c r="C287">
        <v>45</v>
      </c>
      <c r="D287">
        <v>49</v>
      </c>
      <c r="E287">
        <v>48</v>
      </c>
      <c r="F287">
        <v>51</v>
      </c>
      <c r="G287">
        <v>51</v>
      </c>
      <c r="H287">
        <v>46</v>
      </c>
      <c r="I287">
        <v>49</v>
      </c>
      <c r="J287">
        <v>45</v>
      </c>
      <c r="K287">
        <v>46</v>
      </c>
      <c r="L287">
        <v>47</v>
      </c>
      <c r="M287">
        <v>48</v>
      </c>
      <c r="N287">
        <v>49</v>
      </c>
      <c r="O287" s="107">
        <f t="shared" si="61"/>
        <v>47.833333333333336</v>
      </c>
      <c r="P287" s="107">
        <f t="shared" si="62"/>
        <v>2.25</v>
      </c>
      <c r="Q287" s="111">
        <f t="shared" si="63"/>
        <v>4.9360146252285186E-2</v>
      </c>
      <c r="R287" s="111"/>
    </row>
    <row r="288" spans="1:18" x14ac:dyDescent="0.2">
      <c r="B288" t="s">
        <v>230</v>
      </c>
      <c r="C288">
        <v>35</v>
      </c>
      <c r="D288">
        <v>35</v>
      </c>
      <c r="E288">
        <v>36</v>
      </c>
      <c r="F288">
        <v>39</v>
      </c>
      <c r="G288">
        <v>39</v>
      </c>
      <c r="H288">
        <v>43</v>
      </c>
      <c r="I288">
        <v>47</v>
      </c>
      <c r="J288">
        <v>45</v>
      </c>
      <c r="K288">
        <v>47</v>
      </c>
      <c r="L288">
        <v>51</v>
      </c>
      <c r="M288">
        <v>47</v>
      </c>
      <c r="N288">
        <v>45</v>
      </c>
      <c r="O288" s="107">
        <f t="shared" si="61"/>
        <v>42.416666666666664</v>
      </c>
      <c r="P288" s="107">
        <f t="shared" si="62"/>
        <v>-5.4166666666666714</v>
      </c>
      <c r="Q288" s="111">
        <f t="shared" si="63"/>
        <v>-0.113240418118467</v>
      </c>
    </row>
    <row r="289" spans="2:17" x14ac:dyDescent="0.2">
      <c r="B289" t="s">
        <v>229</v>
      </c>
      <c r="C289">
        <v>55</v>
      </c>
      <c r="D289">
        <v>51</v>
      </c>
      <c r="E289">
        <v>49</v>
      </c>
      <c r="F289">
        <v>51</v>
      </c>
      <c r="G289">
        <v>52</v>
      </c>
      <c r="H289">
        <v>54</v>
      </c>
      <c r="I289">
        <v>55</v>
      </c>
      <c r="J289">
        <v>55</v>
      </c>
      <c r="K289">
        <v>42</v>
      </c>
      <c r="L289">
        <v>38</v>
      </c>
      <c r="M289">
        <v>85</v>
      </c>
      <c r="N289">
        <v>81</v>
      </c>
      <c r="O289" s="107">
        <f t="shared" si="61"/>
        <v>55.666666666666664</v>
      </c>
      <c r="P289" s="107">
        <f t="shared" si="62"/>
        <v>13.25</v>
      </c>
      <c r="Q289" s="111">
        <f t="shared" si="63"/>
        <v>0.31237721021611004</v>
      </c>
    </row>
    <row r="290" spans="2:17" x14ac:dyDescent="0.2">
      <c r="B290" t="s">
        <v>234</v>
      </c>
      <c r="C290">
        <v>81</v>
      </c>
      <c r="D290">
        <v>81</v>
      </c>
      <c r="E290">
        <v>74</v>
      </c>
      <c r="F290">
        <v>79</v>
      </c>
      <c r="G290">
        <v>77</v>
      </c>
      <c r="H290">
        <v>77</v>
      </c>
      <c r="I290">
        <v>74</v>
      </c>
      <c r="J290">
        <v>74</v>
      </c>
      <c r="K290">
        <v>74</v>
      </c>
      <c r="L290">
        <v>75</v>
      </c>
      <c r="M290">
        <v>75</v>
      </c>
      <c r="N290">
        <v>76</v>
      </c>
      <c r="O290" s="107">
        <f t="shared" si="61"/>
        <v>76.416666666666671</v>
      </c>
      <c r="P290" s="107">
        <f t="shared" si="62"/>
        <v>20.750000000000007</v>
      </c>
      <c r="Q290" s="111">
        <f t="shared" si="63"/>
        <v>0.37275449101796421</v>
      </c>
    </row>
    <row r="291" spans="2:17" x14ac:dyDescent="0.2">
      <c r="B291" t="s">
        <v>238</v>
      </c>
      <c r="C291">
        <v>78</v>
      </c>
      <c r="D291">
        <v>76</v>
      </c>
      <c r="E291">
        <v>80</v>
      </c>
      <c r="F291">
        <v>81</v>
      </c>
      <c r="G291">
        <v>77</v>
      </c>
      <c r="H291">
        <v>76</v>
      </c>
      <c r="I291">
        <v>74</v>
      </c>
      <c r="J291">
        <v>76</v>
      </c>
      <c r="K291">
        <v>71</v>
      </c>
      <c r="L291">
        <v>71</v>
      </c>
      <c r="M291">
        <v>74</v>
      </c>
      <c r="N291">
        <v>75</v>
      </c>
      <c r="O291" s="107">
        <f t="shared" si="61"/>
        <v>75.75</v>
      </c>
      <c r="P291" s="107">
        <f t="shared" si="62"/>
        <v>-0.6666666666666714</v>
      </c>
      <c r="Q291" s="111">
        <f t="shared" si="63"/>
        <v>-8.7241003271538234E-3</v>
      </c>
    </row>
    <row r="292" spans="2:17" x14ac:dyDescent="0.2">
      <c r="B292" t="s">
        <v>239</v>
      </c>
      <c r="C292">
        <v>75</v>
      </c>
      <c r="D292">
        <v>74</v>
      </c>
      <c r="E292">
        <v>73</v>
      </c>
      <c r="F292">
        <v>72</v>
      </c>
      <c r="G292">
        <v>75</v>
      </c>
      <c r="H292">
        <v>74</v>
      </c>
      <c r="I292">
        <v>73</v>
      </c>
      <c r="J292">
        <v>73</v>
      </c>
      <c r="K292">
        <v>71</v>
      </c>
      <c r="L292">
        <v>84</v>
      </c>
      <c r="M292">
        <v>79</v>
      </c>
      <c r="N292">
        <v>74</v>
      </c>
      <c r="O292" s="107">
        <f t="shared" si="61"/>
        <v>74.75</v>
      </c>
      <c r="P292" s="107">
        <f t="shared" si="62"/>
        <v>-1</v>
      </c>
      <c r="Q292" s="111">
        <f t="shared" si="63"/>
        <v>-1.3201320132013201E-2</v>
      </c>
    </row>
    <row r="293" spans="2:17" x14ac:dyDescent="0.2">
      <c r="B293" t="s">
        <v>240</v>
      </c>
      <c r="C293">
        <v>70</v>
      </c>
      <c r="D293">
        <v>68</v>
      </c>
      <c r="E293">
        <v>80</v>
      </c>
      <c r="F293">
        <v>73</v>
      </c>
      <c r="G293">
        <v>82</v>
      </c>
      <c r="H293">
        <v>81</v>
      </c>
      <c r="I293">
        <v>83</v>
      </c>
      <c r="J293">
        <v>80</v>
      </c>
      <c r="K293">
        <v>78</v>
      </c>
      <c r="L293">
        <v>78</v>
      </c>
      <c r="M293">
        <v>78</v>
      </c>
      <c r="N293">
        <v>86</v>
      </c>
      <c r="O293" s="107">
        <f t="shared" si="61"/>
        <v>78.083333333333329</v>
      </c>
      <c r="P293" s="107">
        <f t="shared" si="62"/>
        <v>3.3333333333333286</v>
      </c>
      <c r="Q293" s="111">
        <f t="shared" ref="Q293:Q305" si="64">SUM(P293/O292)</f>
        <v>4.4593088071348874E-2</v>
      </c>
    </row>
    <row r="294" spans="2:17" x14ac:dyDescent="0.2">
      <c r="B294" t="s">
        <v>241</v>
      </c>
      <c r="C294">
        <v>75</v>
      </c>
      <c r="D294">
        <v>74</v>
      </c>
      <c r="E294">
        <v>79</v>
      </c>
      <c r="F294">
        <v>77</v>
      </c>
      <c r="G294">
        <v>75</v>
      </c>
      <c r="H294">
        <v>66</v>
      </c>
      <c r="I294">
        <v>64</v>
      </c>
      <c r="J294">
        <v>64</v>
      </c>
      <c r="K294">
        <v>47</v>
      </c>
      <c r="L294">
        <v>47</v>
      </c>
      <c r="M294">
        <v>45</v>
      </c>
      <c r="N294">
        <v>47</v>
      </c>
      <c r="O294" s="107">
        <f t="shared" si="61"/>
        <v>63.333333333333336</v>
      </c>
      <c r="P294" s="107">
        <f t="shared" ref="P294:P305" si="65">SUM(O294-O293)</f>
        <v>-14.749999999999993</v>
      </c>
      <c r="Q294" s="111">
        <f t="shared" si="64"/>
        <v>-0.18890074706510132</v>
      </c>
    </row>
    <row r="295" spans="2:17" x14ac:dyDescent="0.2">
      <c r="B295" t="s">
        <v>266</v>
      </c>
      <c r="C295">
        <v>42</v>
      </c>
      <c r="D295">
        <v>43</v>
      </c>
      <c r="E295">
        <v>41</v>
      </c>
      <c r="F295">
        <v>41</v>
      </c>
      <c r="G295">
        <v>38</v>
      </c>
      <c r="H295">
        <v>54</v>
      </c>
      <c r="I295">
        <v>60</v>
      </c>
      <c r="J295">
        <v>53</v>
      </c>
      <c r="K295">
        <v>57</v>
      </c>
      <c r="L295">
        <v>45</v>
      </c>
      <c r="M295">
        <v>48</v>
      </c>
      <c r="N295">
        <v>49</v>
      </c>
      <c r="O295" s="107">
        <f t="shared" si="61"/>
        <v>47.583333333333336</v>
      </c>
      <c r="P295" s="107">
        <f t="shared" si="65"/>
        <v>-15.75</v>
      </c>
      <c r="Q295" s="111">
        <f t="shared" si="64"/>
        <v>-0.24868421052631579</v>
      </c>
    </row>
    <row r="296" spans="2:17" x14ac:dyDescent="0.2">
      <c r="B296" t="s">
        <v>285</v>
      </c>
      <c r="C296">
        <v>49</v>
      </c>
      <c r="D296">
        <v>51</v>
      </c>
      <c r="E296">
        <v>45</v>
      </c>
      <c r="F296">
        <v>54</v>
      </c>
      <c r="G296">
        <v>56</v>
      </c>
      <c r="H296">
        <v>56</v>
      </c>
      <c r="I296">
        <v>53</v>
      </c>
      <c r="J296">
        <v>50</v>
      </c>
      <c r="K296">
        <v>47</v>
      </c>
      <c r="L296">
        <v>44</v>
      </c>
      <c r="M296">
        <v>44</v>
      </c>
      <c r="N296">
        <v>52</v>
      </c>
      <c r="O296" s="107">
        <f t="shared" si="61"/>
        <v>50.083333333333336</v>
      </c>
      <c r="P296" s="107">
        <f>SUM(O296-O295)</f>
        <v>2.5</v>
      </c>
      <c r="Q296" s="111">
        <f>SUM(P296/O295)</f>
        <v>5.2539404553415062E-2</v>
      </c>
    </row>
    <row r="297" spans="2:17" ht="12.75" customHeight="1" x14ac:dyDescent="0.2">
      <c r="B297" t="s">
        <v>354</v>
      </c>
      <c r="C297">
        <v>54</v>
      </c>
      <c r="D297">
        <v>54</v>
      </c>
      <c r="E297">
        <v>51</v>
      </c>
      <c r="F297">
        <v>57</v>
      </c>
      <c r="G297">
        <v>56</v>
      </c>
      <c r="H297">
        <v>64</v>
      </c>
      <c r="I297">
        <v>66</v>
      </c>
      <c r="J297">
        <v>65</v>
      </c>
      <c r="K297">
        <v>65</v>
      </c>
      <c r="L297">
        <v>65</v>
      </c>
      <c r="M297">
        <v>72</v>
      </c>
      <c r="N297">
        <v>63</v>
      </c>
      <c r="O297" s="107">
        <f t="shared" si="61"/>
        <v>61</v>
      </c>
      <c r="P297" s="107">
        <f t="shared" si="65"/>
        <v>10.916666666666664</v>
      </c>
      <c r="Q297" s="111">
        <f t="shared" si="64"/>
        <v>0.21797004991680527</v>
      </c>
    </row>
    <row r="298" spans="2:17" ht="12.75" customHeight="1" x14ac:dyDescent="0.2">
      <c r="B298" t="s">
        <v>381</v>
      </c>
      <c r="C298">
        <v>67</v>
      </c>
      <c r="D298">
        <v>65</v>
      </c>
      <c r="E298">
        <v>65</v>
      </c>
      <c r="F298">
        <v>61</v>
      </c>
      <c r="G298">
        <v>59</v>
      </c>
      <c r="H298">
        <v>58</v>
      </c>
      <c r="I298">
        <v>53</v>
      </c>
      <c r="J298">
        <v>56</v>
      </c>
      <c r="K298">
        <v>57</v>
      </c>
      <c r="L298">
        <v>57</v>
      </c>
      <c r="M298">
        <v>52</v>
      </c>
      <c r="N298">
        <v>58</v>
      </c>
      <c r="O298" s="107">
        <f t="shared" si="61"/>
        <v>59</v>
      </c>
      <c r="P298" s="107">
        <f t="shared" si="65"/>
        <v>-2</v>
      </c>
      <c r="Q298" s="111">
        <f t="shared" si="64"/>
        <v>-3.2786885245901641E-2</v>
      </c>
    </row>
    <row r="299" spans="2:17" x14ac:dyDescent="0.2">
      <c r="B299" t="s">
        <v>435</v>
      </c>
      <c r="C299">
        <v>55</v>
      </c>
      <c r="D299">
        <v>43</v>
      </c>
      <c r="E299">
        <v>45</v>
      </c>
      <c r="F299">
        <v>45</v>
      </c>
      <c r="G299">
        <v>40</v>
      </c>
      <c r="H299">
        <v>45</v>
      </c>
      <c r="I299">
        <v>45</v>
      </c>
      <c r="J299">
        <v>49</v>
      </c>
      <c r="K299">
        <v>53</v>
      </c>
      <c r="L299">
        <v>50</v>
      </c>
      <c r="M299">
        <v>51</v>
      </c>
      <c r="N299">
        <v>50</v>
      </c>
      <c r="O299" s="107">
        <f t="shared" si="61"/>
        <v>47.583333333333336</v>
      </c>
      <c r="P299" s="107">
        <f t="shared" si="65"/>
        <v>-11.416666666666664</v>
      </c>
      <c r="Q299" s="111">
        <f t="shared" si="64"/>
        <v>-0.19350282485875703</v>
      </c>
    </row>
    <row r="300" spans="2:17" x14ac:dyDescent="0.2">
      <c r="B300" t="s">
        <v>451</v>
      </c>
      <c r="C300">
        <v>49</v>
      </c>
      <c r="D300">
        <v>44</v>
      </c>
      <c r="E300">
        <v>44</v>
      </c>
      <c r="F300">
        <v>47</v>
      </c>
      <c r="G300">
        <v>43</v>
      </c>
      <c r="H300">
        <v>42</v>
      </c>
      <c r="I300">
        <v>44</v>
      </c>
      <c r="J300">
        <v>47</v>
      </c>
      <c r="K300">
        <v>38</v>
      </c>
      <c r="L300">
        <v>13</v>
      </c>
      <c r="M300">
        <v>13</v>
      </c>
      <c r="N300">
        <v>11</v>
      </c>
      <c r="O300" s="107">
        <f t="shared" si="61"/>
        <v>36.25</v>
      </c>
      <c r="P300" s="107">
        <f t="shared" si="65"/>
        <v>-11.333333333333336</v>
      </c>
      <c r="Q300" s="111">
        <f t="shared" si="64"/>
        <v>-0.23817863397548164</v>
      </c>
    </row>
    <row r="301" spans="2:17" x14ac:dyDescent="0.2">
      <c r="B301" t="s">
        <v>452</v>
      </c>
      <c r="C301">
        <v>11</v>
      </c>
      <c r="D301">
        <v>11</v>
      </c>
      <c r="E301">
        <v>10</v>
      </c>
      <c r="F301">
        <v>10</v>
      </c>
      <c r="G301">
        <v>11</v>
      </c>
      <c r="H301">
        <v>11</v>
      </c>
      <c r="I301">
        <v>10</v>
      </c>
      <c r="J301">
        <v>8</v>
      </c>
      <c r="K301">
        <v>8</v>
      </c>
      <c r="L301">
        <v>9</v>
      </c>
      <c r="M301">
        <v>58</v>
      </c>
      <c r="N301">
        <v>58</v>
      </c>
      <c r="O301" s="107">
        <f t="shared" si="61"/>
        <v>17.916666666666668</v>
      </c>
      <c r="P301" s="107">
        <f t="shared" si="65"/>
        <v>-18.333333333333332</v>
      </c>
      <c r="Q301" s="111">
        <f t="shared" si="64"/>
        <v>-0.50574712643678155</v>
      </c>
    </row>
    <row r="302" spans="2:17" x14ac:dyDescent="0.2">
      <c r="B302" t="s">
        <v>674</v>
      </c>
      <c r="C302">
        <v>60</v>
      </c>
      <c r="D302">
        <v>55</v>
      </c>
      <c r="E302">
        <v>57</v>
      </c>
      <c r="F302">
        <v>58</v>
      </c>
      <c r="G302">
        <v>55</v>
      </c>
      <c r="H302">
        <v>59</v>
      </c>
      <c r="I302">
        <v>64</v>
      </c>
      <c r="J302">
        <v>57</v>
      </c>
      <c r="K302">
        <v>57</v>
      </c>
      <c r="L302">
        <v>58</v>
      </c>
      <c r="M302">
        <v>61</v>
      </c>
      <c r="N302">
        <v>62</v>
      </c>
      <c r="O302" s="107">
        <f t="shared" si="61"/>
        <v>58.583333333333336</v>
      </c>
      <c r="P302" s="107">
        <f t="shared" si="65"/>
        <v>40.666666666666671</v>
      </c>
      <c r="Q302" s="111">
        <f t="shared" si="64"/>
        <v>2.2697674418604654</v>
      </c>
    </row>
    <row r="303" spans="2:17" x14ac:dyDescent="0.2">
      <c r="B303" t="s">
        <v>675</v>
      </c>
      <c r="C303">
        <v>56</v>
      </c>
      <c r="D303">
        <v>55</v>
      </c>
      <c r="E303">
        <v>57</v>
      </c>
      <c r="F303">
        <v>55</v>
      </c>
      <c r="G303">
        <v>55</v>
      </c>
      <c r="H303">
        <v>48</v>
      </c>
      <c r="I303">
        <v>60</v>
      </c>
      <c r="J303">
        <v>64</v>
      </c>
      <c r="K303">
        <v>68</v>
      </c>
      <c r="L303">
        <v>66</v>
      </c>
      <c r="M303">
        <v>54</v>
      </c>
      <c r="N303">
        <v>53</v>
      </c>
      <c r="O303" s="107">
        <f t="shared" si="61"/>
        <v>57.583333333333336</v>
      </c>
      <c r="P303" s="107">
        <f t="shared" si="65"/>
        <v>-1</v>
      </c>
      <c r="Q303" s="111">
        <f t="shared" si="64"/>
        <v>-1.7069701280227594E-2</v>
      </c>
    </row>
    <row r="304" spans="2:17" x14ac:dyDescent="0.2">
      <c r="B304" t="s">
        <v>729</v>
      </c>
      <c r="C304">
        <v>40</v>
      </c>
      <c r="D304">
        <v>35</v>
      </c>
      <c r="E304">
        <v>39</v>
      </c>
      <c r="F304">
        <v>47</v>
      </c>
      <c r="G304">
        <v>48</v>
      </c>
      <c r="H304">
        <v>26</v>
      </c>
      <c r="I304">
        <v>26</v>
      </c>
      <c r="J304">
        <v>24</v>
      </c>
      <c r="K304">
        <v>31</v>
      </c>
      <c r="L304">
        <v>32</v>
      </c>
      <c r="M304">
        <v>36</v>
      </c>
      <c r="N304">
        <v>41</v>
      </c>
      <c r="O304" s="107">
        <f t="shared" si="61"/>
        <v>35.416666666666664</v>
      </c>
      <c r="P304" s="107">
        <f t="shared" si="65"/>
        <v>-22.166666666666671</v>
      </c>
      <c r="Q304" s="111">
        <f t="shared" si="64"/>
        <v>-0.38494934876989878</v>
      </c>
    </row>
    <row r="305" spans="1:17" x14ac:dyDescent="0.2">
      <c r="B305" s="525" t="s">
        <v>775</v>
      </c>
      <c r="C305">
        <v>38</v>
      </c>
      <c r="D305">
        <v>37</v>
      </c>
      <c r="E305">
        <v>38</v>
      </c>
      <c r="F305">
        <v>38</v>
      </c>
      <c r="G305">
        <v>42</v>
      </c>
      <c r="H305">
        <v>43</v>
      </c>
      <c r="I305">
        <v>45</v>
      </c>
      <c r="J305">
        <v>43</v>
      </c>
      <c r="K305">
        <v>39</v>
      </c>
      <c r="L305">
        <v>40</v>
      </c>
      <c r="M305">
        <v>42</v>
      </c>
      <c r="N305">
        <v>42</v>
      </c>
      <c r="O305" s="107">
        <f t="shared" si="61"/>
        <v>40.583333333333336</v>
      </c>
      <c r="P305" s="107">
        <f t="shared" si="65"/>
        <v>5.1666666666666714</v>
      </c>
      <c r="Q305" s="111">
        <f t="shared" si="64"/>
        <v>0.1458823529411766</v>
      </c>
    </row>
    <row r="306" spans="1:17" x14ac:dyDescent="0.2">
      <c r="B306" s="525" t="s">
        <v>800</v>
      </c>
      <c r="C306">
        <v>36</v>
      </c>
      <c r="O306" s="107"/>
      <c r="P306" s="107"/>
      <c r="Q306" s="111"/>
    </row>
    <row r="307" spans="1:17" x14ac:dyDescent="0.2">
      <c r="A307" s="420"/>
      <c r="B307" s="420"/>
      <c r="C307" s="420"/>
      <c r="D307" s="420"/>
      <c r="E307" s="420"/>
      <c r="F307" s="420"/>
      <c r="G307" s="420"/>
      <c r="H307" s="420"/>
      <c r="I307" s="420"/>
      <c r="J307" s="420"/>
      <c r="K307" s="420"/>
      <c r="L307" s="420"/>
      <c r="M307" s="420"/>
      <c r="N307" s="420"/>
      <c r="O307" s="420"/>
      <c r="P307" s="420"/>
      <c r="Q307" s="420"/>
    </row>
    <row r="308" spans="1:17" x14ac:dyDescent="0.2">
      <c r="A308" s="469" t="s">
        <v>368</v>
      </c>
      <c r="B308" s="112" t="s">
        <v>335</v>
      </c>
      <c r="C308" s="112" t="s">
        <v>336</v>
      </c>
      <c r="D308" s="112" t="s">
        <v>337</v>
      </c>
      <c r="E308" s="112" t="s">
        <v>338</v>
      </c>
      <c r="F308" s="112" t="s">
        <v>339</v>
      </c>
      <c r="G308" s="112" t="s">
        <v>340</v>
      </c>
      <c r="H308" s="112" t="s">
        <v>341</v>
      </c>
      <c r="I308" s="112" t="s">
        <v>342</v>
      </c>
      <c r="J308" s="112" t="s">
        <v>343</v>
      </c>
      <c r="K308" s="112" t="s">
        <v>344</v>
      </c>
      <c r="L308" s="112" t="s">
        <v>345</v>
      </c>
      <c r="M308" s="112" t="s">
        <v>346</v>
      </c>
      <c r="N308" s="112" t="s">
        <v>347</v>
      </c>
    </row>
    <row r="309" spans="1:17" x14ac:dyDescent="0.2">
      <c r="B309" t="s">
        <v>266</v>
      </c>
      <c r="H309">
        <v>120</v>
      </c>
      <c r="I309">
        <v>96</v>
      </c>
      <c r="J309">
        <v>123</v>
      </c>
      <c r="K309">
        <v>105</v>
      </c>
      <c r="L309">
        <v>122</v>
      </c>
      <c r="M309">
        <v>118</v>
      </c>
      <c r="N309">
        <v>118</v>
      </c>
      <c r="O309" s="107">
        <f>SUM(C309:N309)/7</f>
        <v>114.57142857142857</v>
      </c>
      <c r="P309" s="107"/>
      <c r="Q309" s="111"/>
    </row>
    <row r="310" spans="1:17" x14ac:dyDescent="0.2">
      <c r="B310" t="s">
        <v>285</v>
      </c>
      <c r="C310">
        <v>108</v>
      </c>
      <c r="D310">
        <v>110</v>
      </c>
      <c r="E310">
        <v>105</v>
      </c>
      <c r="F310">
        <v>102</v>
      </c>
      <c r="G310">
        <v>121</v>
      </c>
      <c r="H310">
        <v>133</v>
      </c>
      <c r="I310">
        <v>137</v>
      </c>
      <c r="J310">
        <v>129</v>
      </c>
      <c r="K310">
        <v>137</v>
      </c>
      <c r="L310">
        <v>140</v>
      </c>
      <c r="M310">
        <v>134</v>
      </c>
      <c r="N310">
        <v>128</v>
      </c>
      <c r="O310" s="107">
        <f t="shared" ref="O310:O319" si="66">SUM(C310:N310)/12</f>
        <v>123.66666666666667</v>
      </c>
      <c r="P310" s="107">
        <f t="shared" ref="P310:P315" si="67">SUM(O310-O309)</f>
        <v>9.095238095238102</v>
      </c>
      <c r="Q310" s="111">
        <f t="shared" ref="Q310:Q315" si="68">SUM(P310/O309)</f>
        <v>7.9384871155444778E-2</v>
      </c>
    </row>
    <row r="311" spans="1:17" x14ac:dyDescent="0.2">
      <c r="B311" t="s">
        <v>354</v>
      </c>
      <c r="C311">
        <v>109</v>
      </c>
      <c r="D311">
        <v>111</v>
      </c>
      <c r="E311">
        <v>117</v>
      </c>
      <c r="F311">
        <v>117</v>
      </c>
      <c r="G311">
        <v>122</v>
      </c>
      <c r="H311">
        <v>122</v>
      </c>
      <c r="I311">
        <v>140</v>
      </c>
      <c r="J311">
        <v>138</v>
      </c>
      <c r="K311">
        <v>138</v>
      </c>
      <c r="L311">
        <v>107</v>
      </c>
      <c r="M311">
        <v>109</v>
      </c>
      <c r="N311">
        <v>128</v>
      </c>
      <c r="O311" s="107">
        <f t="shared" si="66"/>
        <v>121.5</v>
      </c>
      <c r="P311" s="107">
        <f t="shared" si="67"/>
        <v>-2.1666666666666714</v>
      </c>
      <c r="Q311" s="111">
        <f t="shared" si="68"/>
        <v>-1.7520215633423219E-2</v>
      </c>
    </row>
    <row r="312" spans="1:17" x14ac:dyDescent="0.2">
      <c r="B312" t="s">
        <v>381</v>
      </c>
      <c r="C312">
        <v>109</v>
      </c>
      <c r="D312">
        <v>116</v>
      </c>
      <c r="E312">
        <v>125</v>
      </c>
      <c r="F312">
        <v>113</v>
      </c>
      <c r="G312">
        <v>99</v>
      </c>
      <c r="H312">
        <v>98</v>
      </c>
      <c r="I312">
        <v>107</v>
      </c>
      <c r="J312">
        <v>113</v>
      </c>
      <c r="K312">
        <v>118</v>
      </c>
      <c r="L312">
        <v>105</v>
      </c>
      <c r="M312">
        <v>107</v>
      </c>
      <c r="N312">
        <v>110</v>
      </c>
      <c r="O312" s="107">
        <f t="shared" si="66"/>
        <v>110</v>
      </c>
      <c r="P312" s="107">
        <f t="shared" si="67"/>
        <v>-11.5</v>
      </c>
      <c r="Q312" s="111">
        <f t="shared" si="68"/>
        <v>-9.4650205761316872E-2</v>
      </c>
    </row>
    <row r="313" spans="1:17" x14ac:dyDescent="0.2">
      <c r="B313" t="s">
        <v>435</v>
      </c>
      <c r="C313">
        <v>111</v>
      </c>
      <c r="D313">
        <v>102</v>
      </c>
      <c r="E313">
        <v>122</v>
      </c>
      <c r="F313">
        <v>144</v>
      </c>
      <c r="G313">
        <v>154</v>
      </c>
      <c r="H313">
        <v>164</v>
      </c>
      <c r="I313">
        <v>164</v>
      </c>
      <c r="J313">
        <v>169</v>
      </c>
      <c r="K313">
        <v>164</v>
      </c>
      <c r="L313">
        <v>165</v>
      </c>
      <c r="M313">
        <v>161</v>
      </c>
      <c r="N313">
        <v>142</v>
      </c>
      <c r="O313" s="107">
        <f t="shared" si="66"/>
        <v>146.83333333333334</v>
      </c>
      <c r="P313" s="107">
        <f t="shared" si="67"/>
        <v>36.833333333333343</v>
      </c>
      <c r="Q313" s="111">
        <f t="shared" si="68"/>
        <v>0.33484848484848495</v>
      </c>
    </row>
    <row r="314" spans="1:17" x14ac:dyDescent="0.2">
      <c r="B314" t="s">
        <v>451</v>
      </c>
      <c r="C314">
        <v>158</v>
      </c>
      <c r="D314">
        <v>164</v>
      </c>
      <c r="E314">
        <v>169</v>
      </c>
      <c r="F314">
        <v>191</v>
      </c>
      <c r="G314">
        <v>185</v>
      </c>
      <c r="H314">
        <v>192</v>
      </c>
      <c r="I314">
        <v>181</v>
      </c>
      <c r="J314">
        <v>162</v>
      </c>
      <c r="K314">
        <v>140</v>
      </c>
      <c r="L314">
        <v>146</v>
      </c>
      <c r="M314">
        <v>154</v>
      </c>
      <c r="N314">
        <v>150</v>
      </c>
      <c r="O314" s="107">
        <f t="shared" si="66"/>
        <v>166</v>
      </c>
      <c r="P314" s="107">
        <f t="shared" si="67"/>
        <v>19.166666666666657</v>
      </c>
      <c r="Q314" s="111">
        <f t="shared" si="68"/>
        <v>0.13053348467650391</v>
      </c>
    </row>
    <row r="315" spans="1:17" x14ac:dyDescent="0.2">
      <c r="B315" t="s">
        <v>452</v>
      </c>
      <c r="C315">
        <v>135</v>
      </c>
      <c r="D315">
        <v>124</v>
      </c>
      <c r="E315">
        <v>138</v>
      </c>
      <c r="F315">
        <v>129</v>
      </c>
      <c r="G315">
        <v>115</v>
      </c>
      <c r="H315">
        <v>99</v>
      </c>
      <c r="I315">
        <v>91</v>
      </c>
      <c r="J315">
        <v>84</v>
      </c>
      <c r="K315">
        <v>90</v>
      </c>
      <c r="L315">
        <v>104</v>
      </c>
      <c r="M315">
        <v>95</v>
      </c>
      <c r="N315">
        <v>97</v>
      </c>
      <c r="O315" s="107">
        <f t="shared" si="66"/>
        <v>108.41666666666667</v>
      </c>
      <c r="P315" s="107">
        <f t="shared" si="67"/>
        <v>-57.583333333333329</v>
      </c>
      <c r="Q315" s="111">
        <f t="shared" si="68"/>
        <v>-0.3468875502008032</v>
      </c>
    </row>
    <row r="316" spans="1:17" x14ac:dyDescent="0.2">
      <c r="B316" t="s">
        <v>674</v>
      </c>
      <c r="C316">
        <v>101</v>
      </c>
      <c r="D316">
        <v>104</v>
      </c>
      <c r="E316">
        <v>121</v>
      </c>
      <c r="F316">
        <v>124</v>
      </c>
      <c r="G316">
        <v>126</v>
      </c>
      <c r="H316">
        <v>125</v>
      </c>
      <c r="I316">
        <v>129</v>
      </c>
      <c r="J316">
        <v>116</v>
      </c>
      <c r="K316">
        <v>116</v>
      </c>
      <c r="L316">
        <v>113</v>
      </c>
      <c r="M316">
        <v>120</v>
      </c>
      <c r="N316">
        <v>112</v>
      </c>
      <c r="O316" s="107">
        <f t="shared" si="66"/>
        <v>117.25</v>
      </c>
      <c r="P316" s="107">
        <f>SUM(O316-O315)</f>
        <v>8.8333333333333286</v>
      </c>
      <c r="Q316" s="111">
        <f>SUM(P316/O315)</f>
        <v>8.1475787855495724E-2</v>
      </c>
    </row>
    <row r="317" spans="1:17" x14ac:dyDescent="0.2">
      <c r="B317" t="s">
        <v>675</v>
      </c>
      <c r="C317">
        <v>96</v>
      </c>
      <c r="D317">
        <v>101</v>
      </c>
      <c r="E317">
        <v>93</v>
      </c>
      <c r="F317">
        <v>97</v>
      </c>
      <c r="G317">
        <v>95</v>
      </c>
      <c r="H317">
        <v>82</v>
      </c>
      <c r="I317">
        <v>91</v>
      </c>
      <c r="J317">
        <v>103</v>
      </c>
      <c r="K317">
        <v>101</v>
      </c>
      <c r="L317">
        <v>93</v>
      </c>
      <c r="M317">
        <v>114</v>
      </c>
      <c r="N317">
        <v>104</v>
      </c>
      <c r="O317" s="107">
        <f t="shared" si="66"/>
        <v>97.5</v>
      </c>
      <c r="P317" s="107">
        <f>SUM(O317-O316)</f>
        <v>-19.75</v>
      </c>
      <c r="Q317" s="111">
        <f>SUM(P317/O316)</f>
        <v>-0.16844349680170576</v>
      </c>
    </row>
    <row r="318" spans="1:17" x14ac:dyDescent="0.2">
      <c r="B318" t="s">
        <v>729</v>
      </c>
      <c r="C318">
        <v>93</v>
      </c>
      <c r="D318">
        <v>94</v>
      </c>
      <c r="E318">
        <v>99</v>
      </c>
      <c r="F318">
        <v>104</v>
      </c>
      <c r="G318">
        <v>96</v>
      </c>
      <c r="H318">
        <v>103</v>
      </c>
      <c r="I318">
        <v>102</v>
      </c>
      <c r="J318">
        <v>107</v>
      </c>
      <c r="K318">
        <v>116</v>
      </c>
      <c r="L318">
        <v>111</v>
      </c>
      <c r="M318">
        <v>117</v>
      </c>
      <c r="N318">
        <v>113</v>
      </c>
      <c r="O318" s="107">
        <f t="shared" si="66"/>
        <v>104.58333333333333</v>
      </c>
      <c r="P318" s="107">
        <f>SUM(O318-O317)</f>
        <v>7.0833333333333286</v>
      </c>
      <c r="Q318" s="111">
        <f>SUM(P318/O317)</f>
        <v>7.26495726495726E-2</v>
      </c>
    </row>
    <row r="319" spans="1:17" x14ac:dyDescent="0.2">
      <c r="B319" s="525" t="s">
        <v>775</v>
      </c>
      <c r="C319">
        <v>111</v>
      </c>
      <c r="D319">
        <v>104</v>
      </c>
      <c r="E319">
        <v>104</v>
      </c>
      <c r="F319">
        <v>100</v>
      </c>
      <c r="G319">
        <v>107</v>
      </c>
      <c r="H319">
        <v>119</v>
      </c>
      <c r="I319">
        <v>120</v>
      </c>
      <c r="J319">
        <v>111</v>
      </c>
      <c r="K319">
        <v>101</v>
      </c>
      <c r="L319">
        <v>92</v>
      </c>
      <c r="M319">
        <v>89</v>
      </c>
      <c r="N319">
        <v>78</v>
      </c>
      <c r="O319" s="107">
        <f t="shared" si="66"/>
        <v>103</v>
      </c>
      <c r="P319" s="107">
        <f>SUM(O319-O318)</f>
        <v>-1.5833333333333286</v>
      </c>
      <c r="Q319" s="111">
        <f>SUM(P319/O318)</f>
        <v>-1.5139442231075653E-2</v>
      </c>
    </row>
    <row r="320" spans="1:17" x14ac:dyDescent="0.2">
      <c r="B320" s="525" t="s">
        <v>800</v>
      </c>
      <c r="C320">
        <v>83</v>
      </c>
      <c r="O320" s="107"/>
      <c r="P320" s="107"/>
      <c r="Q320" s="111"/>
    </row>
    <row r="321" spans="1:18" x14ac:dyDescent="0.2">
      <c r="A321" s="420"/>
      <c r="B321" s="420"/>
      <c r="C321" s="420"/>
      <c r="D321" s="420"/>
      <c r="E321" s="420"/>
      <c r="F321" s="420"/>
      <c r="G321" s="420"/>
      <c r="H321" s="420"/>
      <c r="I321" s="420"/>
      <c r="J321" s="420"/>
      <c r="K321" s="420"/>
      <c r="L321" s="420"/>
      <c r="M321" s="420"/>
      <c r="N321" s="420"/>
      <c r="O321" s="420"/>
      <c r="P321" s="420"/>
      <c r="Q321" s="420"/>
      <c r="R321" s="420"/>
    </row>
    <row r="322" spans="1:18" ht="38.25" x14ac:dyDescent="0.2">
      <c r="A322" s="782" t="s">
        <v>369</v>
      </c>
      <c r="B322" s="783" t="s">
        <v>335</v>
      </c>
      <c r="C322" s="784" t="s">
        <v>336</v>
      </c>
      <c r="D322" s="784" t="s">
        <v>337</v>
      </c>
      <c r="E322" s="784" t="s">
        <v>338</v>
      </c>
      <c r="F322" s="784" t="s">
        <v>339</v>
      </c>
      <c r="G322" s="784" t="s">
        <v>340</v>
      </c>
      <c r="H322" s="784" t="s">
        <v>341</v>
      </c>
      <c r="I322" s="784" t="s">
        <v>342</v>
      </c>
      <c r="J322" s="784" t="s">
        <v>343</v>
      </c>
      <c r="K322" s="784" t="s">
        <v>344</v>
      </c>
      <c r="L322" s="784" t="s">
        <v>345</v>
      </c>
      <c r="M322" s="784" t="s">
        <v>346</v>
      </c>
      <c r="N322" s="784" t="s">
        <v>347</v>
      </c>
      <c r="O322" s="782" t="s">
        <v>348</v>
      </c>
      <c r="P322" s="785" t="s">
        <v>349</v>
      </c>
      <c r="Q322" s="785" t="s">
        <v>350</v>
      </c>
      <c r="R322" s="785" t="s">
        <v>370</v>
      </c>
    </row>
    <row r="323" spans="1:18" x14ac:dyDescent="0.2">
      <c r="A323" s="786" t="s">
        <v>380</v>
      </c>
      <c r="B323" s="787" t="s">
        <v>351</v>
      </c>
      <c r="C323" s="787">
        <f t="shared" ref="C323:N335" si="69">SUM(C3,C26,C50,C73,C97,C120,C144,C167,C191,C214,C238,C261,C285)</f>
        <v>4476</v>
      </c>
      <c r="D323" s="787">
        <f t="shared" si="69"/>
        <v>4483</v>
      </c>
      <c r="E323" s="787">
        <f t="shared" si="69"/>
        <v>4465</v>
      </c>
      <c r="F323" s="787">
        <f t="shared" si="69"/>
        <v>4430</v>
      </c>
      <c r="G323" s="787">
        <f t="shared" si="69"/>
        <v>4464</v>
      </c>
      <c r="H323" s="787">
        <f t="shared" si="69"/>
        <v>4489</v>
      </c>
      <c r="I323" s="787">
        <f t="shared" si="69"/>
        <v>4483</v>
      </c>
      <c r="J323" s="787">
        <f t="shared" si="69"/>
        <v>4518</v>
      </c>
      <c r="K323" s="787">
        <f t="shared" si="69"/>
        <v>4524</v>
      </c>
      <c r="L323" s="787">
        <f t="shared" si="69"/>
        <v>4527</v>
      </c>
      <c r="M323" s="787">
        <f t="shared" si="69"/>
        <v>4496</v>
      </c>
      <c r="N323" s="787">
        <f t="shared" si="69"/>
        <v>4561</v>
      </c>
      <c r="O323" s="787">
        <f t="shared" ref="O323:O331" si="70">SUM(C323:N323)/12</f>
        <v>4493</v>
      </c>
      <c r="P323" s="787"/>
      <c r="Q323" s="787"/>
      <c r="R323" s="787"/>
    </row>
    <row r="324" spans="1:18" x14ac:dyDescent="0.2">
      <c r="A324" s="787"/>
      <c r="B324" s="787" t="s">
        <v>352</v>
      </c>
      <c r="C324" s="787">
        <f t="shared" si="69"/>
        <v>4520</v>
      </c>
      <c r="D324" s="787">
        <f t="shared" si="69"/>
        <v>4564</v>
      </c>
      <c r="E324" s="787">
        <f t="shared" si="69"/>
        <v>4554</v>
      </c>
      <c r="F324" s="787">
        <f t="shared" si="69"/>
        <v>4570</v>
      </c>
      <c r="G324" s="787">
        <f t="shared" si="69"/>
        <v>4539</v>
      </c>
      <c r="H324" s="787">
        <f t="shared" si="69"/>
        <v>4559</v>
      </c>
      <c r="I324" s="787">
        <f t="shared" si="69"/>
        <v>4522</v>
      </c>
      <c r="J324" s="787">
        <f t="shared" si="69"/>
        <v>4548</v>
      </c>
      <c r="K324" s="787">
        <f t="shared" si="69"/>
        <v>4510</v>
      </c>
      <c r="L324" s="787">
        <f t="shared" si="69"/>
        <v>4548</v>
      </c>
      <c r="M324" s="787">
        <f t="shared" si="69"/>
        <v>4537</v>
      </c>
      <c r="N324" s="787">
        <f t="shared" si="69"/>
        <v>4525</v>
      </c>
      <c r="O324" s="788">
        <f t="shared" si="70"/>
        <v>4541.333333333333</v>
      </c>
      <c r="P324" s="788">
        <f t="shared" ref="P324:P330" si="71">SUM(O324-N323)</f>
        <v>-19.66666666666697</v>
      </c>
      <c r="Q324" s="789">
        <f t="shared" ref="Q324:Q338" si="72">SUM(P324/O323)</f>
        <v>-4.3771793159730621E-3</v>
      </c>
      <c r="R324" s="787"/>
    </row>
    <row r="325" spans="1:18" x14ac:dyDescent="0.2">
      <c r="A325" s="787"/>
      <c r="B325" s="787" t="s">
        <v>353</v>
      </c>
      <c r="C325" s="787">
        <f t="shared" si="69"/>
        <v>4558</v>
      </c>
      <c r="D325" s="787">
        <f t="shared" si="69"/>
        <v>4615</v>
      </c>
      <c r="E325" s="787">
        <f t="shared" si="69"/>
        <v>4607</v>
      </c>
      <c r="F325" s="787">
        <f t="shared" si="69"/>
        <v>4575</v>
      </c>
      <c r="G325" s="787">
        <f t="shared" si="69"/>
        <v>4575</v>
      </c>
      <c r="H325" s="787">
        <f t="shared" si="69"/>
        <v>4624</v>
      </c>
      <c r="I325" s="787">
        <f t="shared" si="69"/>
        <v>4604</v>
      </c>
      <c r="J325" s="787">
        <f t="shared" si="69"/>
        <v>4666</v>
      </c>
      <c r="K325" s="787">
        <f t="shared" si="69"/>
        <v>4736</v>
      </c>
      <c r="L325" s="787">
        <f t="shared" si="69"/>
        <v>4774</v>
      </c>
      <c r="M325" s="787">
        <f t="shared" si="69"/>
        <v>4832</v>
      </c>
      <c r="N325" s="787">
        <f t="shared" si="69"/>
        <v>4872</v>
      </c>
      <c r="O325" s="788">
        <f t="shared" si="70"/>
        <v>4669.833333333333</v>
      </c>
      <c r="P325" s="788">
        <f t="shared" si="71"/>
        <v>144.83333333333303</v>
      </c>
      <c r="Q325" s="789">
        <f t="shared" si="72"/>
        <v>3.1892248972401581E-2</v>
      </c>
      <c r="R325" s="789">
        <f>SUM(Q324:Q325)</f>
        <v>2.7515069656428519E-2</v>
      </c>
    </row>
    <row r="326" spans="1:18" x14ac:dyDescent="0.2">
      <c r="A326" s="787"/>
      <c r="B326" s="787" t="s">
        <v>230</v>
      </c>
      <c r="C326" s="787">
        <f t="shared" si="69"/>
        <v>4823</v>
      </c>
      <c r="D326" s="787">
        <f t="shared" si="69"/>
        <v>4949</v>
      </c>
      <c r="E326" s="787">
        <f t="shared" si="69"/>
        <v>4738</v>
      </c>
      <c r="F326" s="787">
        <f t="shared" si="69"/>
        <v>4753</v>
      </c>
      <c r="G326" s="787">
        <f t="shared" si="69"/>
        <v>4796</v>
      </c>
      <c r="H326" s="787">
        <f t="shared" si="69"/>
        <v>4795</v>
      </c>
      <c r="I326" s="787">
        <f t="shared" si="69"/>
        <v>4787</v>
      </c>
      <c r="J326" s="787">
        <f t="shared" si="69"/>
        <v>4789</v>
      </c>
      <c r="K326" s="787">
        <f t="shared" si="69"/>
        <v>4682</v>
      </c>
      <c r="L326" s="787">
        <f t="shared" si="69"/>
        <v>4694</v>
      </c>
      <c r="M326" s="787">
        <f t="shared" si="69"/>
        <v>4685</v>
      </c>
      <c r="N326" s="787">
        <f t="shared" si="69"/>
        <v>4723</v>
      </c>
      <c r="O326" s="788">
        <f t="shared" si="70"/>
        <v>4767.833333333333</v>
      </c>
      <c r="P326" s="788">
        <f t="shared" si="71"/>
        <v>-104.16666666666697</v>
      </c>
      <c r="Q326" s="789">
        <f t="shared" si="72"/>
        <v>-2.2306292158892245E-2</v>
      </c>
      <c r="R326" s="789">
        <f>SUM(Q324:Q326)</f>
        <v>5.2087774975362738E-3</v>
      </c>
    </row>
    <row r="327" spans="1:18" x14ac:dyDescent="0.2">
      <c r="A327" s="787"/>
      <c r="B327" s="787" t="s">
        <v>229</v>
      </c>
      <c r="C327" s="787">
        <f t="shared" si="69"/>
        <v>4934</v>
      </c>
      <c r="D327" s="787">
        <f t="shared" si="69"/>
        <v>4681</v>
      </c>
      <c r="E327" s="787">
        <f t="shared" si="69"/>
        <v>4701</v>
      </c>
      <c r="F327" s="787">
        <f t="shared" si="69"/>
        <v>4713</v>
      </c>
      <c r="G327" s="787">
        <f t="shared" si="69"/>
        <v>4644</v>
      </c>
      <c r="H327" s="787">
        <f t="shared" si="69"/>
        <v>4760</v>
      </c>
      <c r="I327" s="787">
        <f t="shared" si="69"/>
        <v>4760</v>
      </c>
      <c r="J327" s="787">
        <f t="shared" si="69"/>
        <v>4753</v>
      </c>
      <c r="K327" s="787">
        <f t="shared" si="69"/>
        <v>4744</v>
      </c>
      <c r="L327" s="787">
        <f t="shared" si="69"/>
        <v>4764</v>
      </c>
      <c r="M327" s="787">
        <f t="shared" si="69"/>
        <v>4810</v>
      </c>
      <c r="N327" s="787">
        <f t="shared" si="69"/>
        <v>4804</v>
      </c>
      <c r="O327" s="788">
        <f t="shared" si="70"/>
        <v>4755.666666666667</v>
      </c>
      <c r="P327" s="788">
        <f t="shared" si="71"/>
        <v>32.66666666666697</v>
      </c>
      <c r="Q327" s="789">
        <f t="shared" si="72"/>
        <v>6.8514699199497264E-3</v>
      </c>
      <c r="R327" s="789">
        <f>SUM(Q324:Q327)</f>
        <v>1.2060247417486E-2</v>
      </c>
    </row>
    <row r="328" spans="1:18" x14ac:dyDescent="0.2">
      <c r="A328" s="787"/>
      <c r="B328" s="787" t="s">
        <v>234</v>
      </c>
      <c r="C328" s="787">
        <f t="shared" si="69"/>
        <v>4780</v>
      </c>
      <c r="D328" s="787">
        <f t="shared" si="69"/>
        <v>4815</v>
      </c>
      <c r="E328" s="787">
        <f t="shared" si="69"/>
        <v>4843</v>
      </c>
      <c r="F328" s="787">
        <f t="shared" si="69"/>
        <v>4851</v>
      </c>
      <c r="G328" s="787">
        <f t="shared" si="69"/>
        <v>4883</v>
      </c>
      <c r="H328" s="787">
        <f t="shared" si="69"/>
        <v>4792</v>
      </c>
      <c r="I328" s="787">
        <f t="shared" si="69"/>
        <v>4842</v>
      </c>
      <c r="J328" s="787">
        <f t="shared" si="69"/>
        <v>4977</v>
      </c>
      <c r="K328" s="787">
        <f t="shared" si="69"/>
        <v>4949</v>
      </c>
      <c r="L328" s="787">
        <f t="shared" si="69"/>
        <v>4956</v>
      </c>
      <c r="M328" s="787">
        <f t="shared" si="69"/>
        <v>5017</v>
      </c>
      <c r="N328" s="787">
        <f t="shared" si="69"/>
        <v>4991</v>
      </c>
      <c r="O328" s="788">
        <f t="shared" si="70"/>
        <v>4891.333333333333</v>
      </c>
      <c r="P328" s="788">
        <f t="shared" si="71"/>
        <v>87.33333333333303</v>
      </c>
      <c r="Q328" s="789">
        <f t="shared" si="72"/>
        <v>1.8364056914558006E-2</v>
      </c>
      <c r="R328" s="789">
        <f>SUM(Q324:Q328)</f>
        <v>3.0424304332044006E-2</v>
      </c>
    </row>
    <row r="329" spans="1:18" x14ac:dyDescent="0.2">
      <c r="A329" s="787"/>
      <c r="B329" s="787" t="s">
        <v>238</v>
      </c>
      <c r="C329" s="787">
        <f t="shared" si="69"/>
        <v>5030</v>
      </c>
      <c r="D329" s="787">
        <f t="shared" si="69"/>
        <v>5070</v>
      </c>
      <c r="E329" s="787">
        <f t="shared" si="69"/>
        <v>5041</v>
      </c>
      <c r="F329" s="787">
        <f t="shared" si="69"/>
        <v>5085</v>
      </c>
      <c r="G329" s="787">
        <f t="shared" si="69"/>
        <v>5067</v>
      </c>
      <c r="H329" s="787">
        <f t="shared" si="69"/>
        <v>5102</v>
      </c>
      <c r="I329" s="787">
        <f t="shared" si="69"/>
        <v>5086</v>
      </c>
      <c r="J329" s="787">
        <f t="shared" si="69"/>
        <v>5164</v>
      </c>
      <c r="K329" s="787">
        <f t="shared" si="69"/>
        <v>5141</v>
      </c>
      <c r="L329" s="787">
        <f t="shared" si="69"/>
        <v>5196</v>
      </c>
      <c r="M329" s="787">
        <f t="shared" si="69"/>
        <v>5262</v>
      </c>
      <c r="N329" s="787">
        <f t="shared" si="69"/>
        <v>5272</v>
      </c>
      <c r="O329" s="788">
        <f t="shared" si="70"/>
        <v>5126.333333333333</v>
      </c>
      <c r="P329" s="788">
        <f t="shared" si="71"/>
        <v>135.33333333333303</v>
      </c>
      <c r="Q329" s="789">
        <f t="shared" si="72"/>
        <v>2.7667984189723261E-2</v>
      </c>
      <c r="R329" s="789">
        <f>SUM(Q324:Q329)</f>
        <v>5.8092288521767267E-2</v>
      </c>
    </row>
    <row r="330" spans="1:18" x14ac:dyDescent="0.2">
      <c r="A330" s="787"/>
      <c r="B330" s="787" t="s">
        <v>239</v>
      </c>
      <c r="C330" s="787">
        <f t="shared" si="69"/>
        <v>5300</v>
      </c>
      <c r="D330" s="787">
        <f t="shared" si="69"/>
        <v>5270</v>
      </c>
      <c r="E330" s="787">
        <f t="shared" si="69"/>
        <v>5214</v>
      </c>
      <c r="F330" s="787">
        <f t="shared" si="69"/>
        <v>5280</v>
      </c>
      <c r="G330" s="787">
        <f t="shared" si="69"/>
        <v>5289</v>
      </c>
      <c r="H330" s="787">
        <f t="shared" si="69"/>
        <v>5344</v>
      </c>
      <c r="I330" s="787">
        <f t="shared" si="69"/>
        <v>5315</v>
      </c>
      <c r="J330" s="787">
        <f t="shared" si="69"/>
        <v>5326</v>
      </c>
      <c r="K330" s="787">
        <f t="shared" si="69"/>
        <v>5260</v>
      </c>
      <c r="L330" s="787">
        <f t="shared" si="69"/>
        <v>5801</v>
      </c>
      <c r="M330" s="787">
        <f t="shared" si="69"/>
        <v>5765</v>
      </c>
      <c r="N330" s="787">
        <f t="shared" si="69"/>
        <v>5296</v>
      </c>
      <c r="O330" s="788">
        <f t="shared" si="70"/>
        <v>5371.666666666667</v>
      </c>
      <c r="P330" s="788">
        <f t="shared" si="71"/>
        <v>99.66666666666697</v>
      </c>
      <c r="Q330" s="789">
        <f t="shared" si="72"/>
        <v>1.9442096365173349E-2</v>
      </c>
      <c r="R330" s="789">
        <f t="shared" ref="R330:R340" si="73">SUM(Q324:Q330)</f>
        <v>7.7534384886940616E-2</v>
      </c>
    </row>
    <row r="331" spans="1:18" x14ac:dyDescent="0.2">
      <c r="A331" s="787"/>
      <c r="B331" s="787" t="s">
        <v>240</v>
      </c>
      <c r="C331" s="787">
        <f t="shared" si="69"/>
        <v>5324</v>
      </c>
      <c r="D331" s="787">
        <f t="shared" si="69"/>
        <v>5413</v>
      </c>
      <c r="E331" s="787">
        <f t="shared" si="69"/>
        <v>5738</v>
      </c>
      <c r="F331" s="787">
        <f t="shared" si="69"/>
        <v>5475</v>
      </c>
      <c r="G331" s="787">
        <f t="shared" si="69"/>
        <v>5231</v>
      </c>
      <c r="H331" s="787">
        <f t="shared" si="69"/>
        <v>5265</v>
      </c>
      <c r="I331" s="787">
        <f t="shared" si="69"/>
        <v>5442</v>
      </c>
      <c r="J331" s="787">
        <f t="shared" si="69"/>
        <v>5402</v>
      </c>
      <c r="K331" s="787">
        <f t="shared" si="69"/>
        <v>5364</v>
      </c>
      <c r="L331" s="787">
        <f t="shared" si="69"/>
        <v>5409</v>
      </c>
      <c r="M331" s="787">
        <f t="shared" si="69"/>
        <v>5790</v>
      </c>
      <c r="N331" s="787">
        <f t="shared" si="69"/>
        <v>5890</v>
      </c>
      <c r="O331" s="788">
        <f t="shared" si="70"/>
        <v>5478.583333333333</v>
      </c>
      <c r="P331" s="788">
        <f t="shared" ref="P331:P342" si="74">SUM(O331-O330)</f>
        <v>106.91666666666606</v>
      </c>
      <c r="Q331" s="789">
        <f t="shared" si="72"/>
        <v>1.9903816320198459E-2</v>
      </c>
      <c r="R331" s="789">
        <f t="shared" si="73"/>
        <v>0.10181538052311213</v>
      </c>
    </row>
    <row r="332" spans="1:18" x14ac:dyDescent="0.2">
      <c r="A332" s="787"/>
      <c r="B332" s="787" t="s">
        <v>241</v>
      </c>
      <c r="C332" s="787">
        <f t="shared" si="69"/>
        <v>5636</v>
      </c>
      <c r="D332" s="787">
        <f t="shared" si="69"/>
        <v>5620</v>
      </c>
      <c r="E332" s="787">
        <f t="shared" si="69"/>
        <v>5623</v>
      </c>
      <c r="F332" s="787">
        <f t="shared" si="69"/>
        <v>5600</v>
      </c>
      <c r="G332" s="787">
        <f t="shared" si="69"/>
        <v>5642</v>
      </c>
      <c r="H332" s="787">
        <f t="shared" si="69"/>
        <v>5678</v>
      </c>
      <c r="I332" s="787">
        <f t="shared" si="69"/>
        <v>5668</v>
      </c>
      <c r="J332" s="787">
        <f t="shared" si="69"/>
        <v>5682</v>
      </c>
      <c r="K332" s="787">
        <f t="shared" si="69"/>
        <v>5707</v>
      </c>
      <c r="L332" s="787">
        <f t="shared" si="69"/>
        <v>5751</v>
      </c>
      <c r="M332" s="787">
        <f t="shared" si="69"/>
        <v>5791</v>
      </c>
      <c r="N332" s="787">
        <f t="shared" si="69"/>
        <v>5813</v>
      </c>
      <c r="O332" s="788">
        <f>SUM(C332:N332)/12</f>
        <v>5684.25</v>
      </c>
      <c r="P332" s="788">
        <f t="shared" si="74"/>
        <v>205.66666666666697</v>
      </c>
      <c r="Q332" s="789">
        <f t="shared" si="72"/>
        <v>3.7540118339595148E-2</v>
      </c>
      <c r="R332" s="789">
        <f t="shared" si="73"/>
        <v>0.1074632498903057</v>
      </c>
    </row>
    <row r="333" spans="1:18" x14ac:dyDescent="0.2">
      <c r="A333" s="787"/>
      <c r="B333" s="787" t="s">
        <v>266</v>
      </c>
      <c r="C333" s="787">
        <f t="shared" si="69"/>
        <v>5792</v>
      </c>
      <c r="D333" s="787">
        <f t="shared" si="69"/>
        <v>5837</v>
      </c>
      <c r="E333" s="787">
        <f t="shared" si="69"/>
        <v>5783</v>
      </c>
      <c r="F333" s="787">
        <f t="shared" si="69"/>
        <v>5776</v>
      </c>
      <c r="G333" s="787">
        <f t="shared" si="69"/>
        <v>5691</v>
      </c>
      <c r="H333" s="787">
        <f t="shared" si="69"/>
        <v>5868</v>
      </c>
      <c r="I333" s="787">
        <f t="shared" si="69"/>
        <v>5812</v>
      </c>
      <c r="J333" s="787">
        <f t="shared" si="69"/>
        <v>5855</v>
      </c>
      <c r="K333" s="787">
        <f t="shared" si="69"/>
        <v>5867</v>
      </c>
      <c r="L333" s="787">
        <f t="shared" si="69"/>
        <v>5881</v>
      </c>
      <c r="M333" s="787">
        <f t="shared" si="69"/>
        <v>5824</v>
      </c>
      <c r="N333" s="787">
        <f t="shared" si="69"/>
        <v>5846</v>
      </c>
      <c r="O333" s="788">
        <f>SUM(C333:N333)/12</f>
        <v>5819.333333333333</v>
      </c>
      <c r="P333" s="788">
        <f t="shared" si="74"/>
        <v>135.08333333333303</v>
      </c>
      <c r="Q333" s="789">
        <f t="shared" si="72"/>
        <v>2.3764495462608618E-2</v>
      </c>
      <c r="R333" s="789">
        <f t="shared" si="73"/>
        <v>0.15353403751180655</v>
      </c>
    </row>
    <row r="334" spans="1:18" x14ac:dyDescent="0.2">
      <c r="A334" s="787"/>
      <c r="B334" s="787" t="s">
        <v>285</v>
      </c>
      <c r="C334" s="787">
        <f t="shared" si="69"/>
        <v>5909</v>
      </c>
      <c r="D334" s="787">
        <f t="shared" si="69"/>
        <v>5921</v>
      </c>
      <c r="E334" s="787">
        <f t="shared" si="69"/>
        <v>5881</v>
      </c>
      <c r="F334" s="787">
        <f t="shared" si="69"/>
        <v>5938</v>
      </c>
      <c r="G334" s="787">
        <f t="shared" si="69"/>
        <v>5963</v>
      </c>
      <c r="H334" s="787">
        <f t="shared" si="69"/>
        <v>5986</v>
      </c>
      <c r="I334" s="787">
        <f t="shared" si="69"/>
        <v>5927</v>
      </c>
      <c r="J334" s="787">
        <f t="shared" si="69"/>
        <v>5974</v>
      </c>
      <c r="K334" s="787">
        <f t="shared" si="69"/>
        <v>6009</v>
      </c>
      <c r="L334" s="787">
        <f t="shared" si="69"/>
        <v>6021</v>
      </c>
      <c r="M334" s="787">
        <f t="shared" si="69"/>
        <v>5978</v>
      </c>
      <c r="N334" s="787">
        <f t="shared" si="69"/>
        <v>5883</v>
      </c>
      <c r="O334" s="788">
        <f>SUM(C334:N334)/12</f>
        <v>5949.166666666667</v>
      </c>
      <c r="P334" s="788">
        <f t="shared" si="74"/>
        <v>129.83333333333394</v>
      </c>
      <c r="Q334" s="789">
        <f t="shared" si="72"/>
        <v>2.2310688509565919E-2</v>
      </c>
      <c r="R334" s="789">
        <f t="shared" si="73"/>
        <v>0.16899325610142274</v>
      </c>
    </row>
    <row r="335" spans="1:18" x14ac:dyDescent="0.2">
      <c r="A335" s="787"/>
      <c r="B335" s="787" t="s">
        <v>371</v>
      </c>
      <c r="C335" s="787">
        <f t="shared" si="69"/>
        <v>5999</v>
      </c>
      <c r="D335" s="787">
        <f t="shared" si="69"/>
        <v>6010</v>
      </c>
      <c r="E335" s="787">
        <f t="shared" si="69"/>
        <v>6006</v>
      </c>
      <c r="F335" s="787">
        <f t="shared" si="69"/>
        <v>6022</v>
      </c>
      <c r="G335" s="787">
        <f t="shared" si="69"/>
        <v>6027</v>
      </c>
      <c r="H335" s="787">
        <f t="shared" si="69"/>
        <v>6072</v>
      </c>
      <c r="I335" s="787">
        <f t="shared" si="69"/>
        <v>6094</v>
      </c>
      <c r="J335" s="787">
        <f t="shared" si="69"/>
        <v>6090</v>
      </c>
      <c r="K335" s="787">
        <f t="shared" si="69"/>
        <v>6044</v>
      </c>
      <c r="L335" s="787">
        <f t="shared" si="69"/>
        <v>6053</v>
      </c>
      <c r="M335" s="787">
        <f t="shared" si="69"/>
        <v>6097</v>
      </c>
      <c r="N335" s="787">
        <f t="shared" si="69"/>
        <v>6122</v>
      </c>
      <c r="O335" s="788">
        <f>SUM(C335:N335)/12</f>
        <v>6053</v>
      </c>
      <c r="P335" s="788">
        <f t="shared" si="74"/>
        <v>103.83333333333303</v>
      </c>
      <c r="Q335" s="789">
        <f t="shared" si="72"/>
        <v>1.7453424849418635E-2</v>
      </c>
      <c r="R335" s="789">
        <f t="shared" si="73"/>
        <v>0.16808262403628338</v>
      </c>
    </row>
    <row r="336" spans="1:18" x14ac:dyDescent="0.2">
      <c r="A336" s="787"/>
      <c r="B336" s="787" t="s">
        <v>381</v>
      </c>
      <c r="C336" s="787">
        <f t="shared" ref="C336:O343" si="75">SUM(C16,C39,C63,C86,C110,C133,C157,C180,C204,C227,C251,C274,C298,C312)</f>
        <v>6219</v>
      </c>
      <c r="D336" s="787">
        <f t="shared" si="75"/>
        <v>6195</v>
      </c>
      <c r="E336" s="787">
        <f t="shared" si="75"/>
        <v>6211</v>
      </c>
      <c r="F336" s="787">
        <f t="shared" si="75"/>
        <v>6268</v>
      </c>
      <c r="G336" s="787">
        <f t="shared" si="75"/>
        <v>6289</v>
      </c>
      <c r="H336" s="787">
        <f t="shared" si="75"/>
        <v>6246</v>
      </c>
      <c r="I336" s="787">
        <f t="shared" si="75"/>
        <v>6283</v>
      </c>
      <c r="J336" s="787">
        <f t="shared" si="75"/>
        <v>6294</v>
      </c>
      <c r="K336" s="787">
        <f t="shared" si="75"/>
        <v>6169</v>
      </c>
      <c r="L336" s="787">
        <f t="shared" si="75"/>
        <v>6109</v>
      </c>
      <c r="M336" s="787">
        <f t="shared" si="75"/>
        <v>6183</v>
      </c>
      <c r="N336" s="787">
        <f t="shared" si="75"/>
        <v>6197</v>
      </c>
      <c r="O336" s="788">
        <f t="shared" si="75"/>
        <v>6221.9166666666652</v>
      </c>
      <c r="P336" s="788">
        <f t="shared" si="74"/>
        <v>168.91666666666515</v>
      </c>
      <c r="Q336" s="789">
        <f t="shared" si="72"/>
        <v>2.7906272371826392E-2</v>
      </c>
      <c r="R336" s="789">
        <f t="shared" si="73"/>
        <v>0.16832091221838652</v>
      </c>
    </row>
    <row r="337" spans="1:18" x14ac:dyDescent="0.2">
      <c r="A337" s="787"/>
      <c r="B337" s="787" t="s">
        <v>435</v>
      </c>
      <c r="C337" s="787">
        <f t="shared" si="75"/>
        <v>6254</v>
      </c>
      <c r="D337" s="787">
        <f t="shared" si="75"/>
        <v>6195</v>
      </c>
      <c r="E337" s="787">
        <f t="shared" si="75"/>
        <v>6259</v>
      </c>
      <c r="F337" s="787">
        <f t="shared" si="75"/>
        <v>6210</v>
      </c>
      <c r="G337" s="787">
        <f t="shared" si="75"/>
        <v>6164</v>
      </c>
      <c r="H337" s="787">
        <f t="shared" si="75"/>
        <v>6214</v>
      </c>
      <c r="I337" s="787">
        <f t="shared" si="75"/>
        <v>6176</v>
      </c>
      <c r="J337" s="787">
        <f t="shared" si="75"/>
        <v>6172</v>
      </c>
      <c r="K337" s="787">
        <f t="shared" si="75"/>
        <v>6086</v>
      </c>
      <c r="L337" s="787">
        <f t="shared" si="75"/>
        <v>6077</v>
      </c>
      <c r="M337" s="787">
        <f t="shared" si="75"/>
        <v>6086</v>
      </c>
      <c r="N337" s="787">
        <f t="shared" si="75"/>
        <v>6159</v>
      </c>
      <c r="O337" s="787">
        <f t="shared" si="75"/>
        <v>6171.0000000000009</v>
      </c>
      <c r="P337" s="788">
        <f t="shared" si="74"/>
        <v>-50.916666666664241</v>
      </c>
      <c r="Q337" s="789">
        <f t="shared" si="72"/>
        <v>-8.1834375795236062E-3</v>
      </c>
      <c r="R337" s="789">
        <f t="shared" si="73"/>
        <v>0.14069537827368955</v>
      </c>
    </row>
    <row r="338" spans="1:18" x14ac:dyDescent="0.2">
      <c r="A338" s="787"/>
      <c r="B338" s="787" t="s">
        <v>451</v>
      </c>
      <c r="C338" s="787">
        <f t="shared" si="75"/>
        <v>6046</v>
      </c>
      <c r="D338" s="787">
        <f t="shared" si="75"/>
        <v>5977</v>
      </c>
      <c r="E338" s="787">
        <f t="shared" si="75"/>
        <v>5919</v>
      </c>
      <c r="F338" s="787">
        <f t="shared" si="75"/>
        <v>5878</v>
      </c>
      <c r="G338" s="787">
        <f t="shared" si="75"/>
        <v>5876</v>
      </c>
      <c r="H338" s="787">
        <f t="shared" si="75"/>
        <v>5773</v>
      </c>
      <c r="I338" s="787">
        <f t="shared" si="75"/>
        <v>5785</v>
      </c>
      <c r="J338" s="787">
        <f t="shared" si="75"/>
        <v>5754</v>
      </c>
      <c r="K338" s="787">
        <f t="shared" si="75"/>
        <v>5747</v>
      </c>
      <c r="L338" s="787">
        <f t="shared" si="75"/>
        <v>5612</v>
      </c>
      <c r="M338" s="787">
        <f t="shared" si="75"/>
        <v>5667</v>
      </c>
      <c r="N338" s="787">
        <f t="shared" si="75"/>
        <v>5672</v>
      </c>
      <c r="O338" s="788">
        <f t="shared" si="75"/>
        <v>5808.833333333333</v>
      </c>
      <c r="P338" s="788">
        <f t="shared" si="74"/>
        <v>-362.16666666666788</v>
      </c>
      <c r="Q338" s="789">
        <f t="shared" si="72"/>
        <v>-5.8688489169772783E-2</v>
      </c>
      <c r="R338" s="789">
        <f t="shared" si="73"/>
        <v>6.2103072783718329E-2</v>
      </c>
    </row>
    <row r="339" spans="1:18" x14ac:dyDescent="0.2">
      <c r="A339" s="787"/>
      <c r="B339" s="787" t="s">
        <v>452</v>
      </c>
      <c r="C339" s="787">
        <f t="shared" si="75"/>
        <v>5433</v>
      </c>
      <c r="D339" s="787">
        <f t="shared" si="75"/>
        <v>5487</v>
      </c>
      <c r="E339" s="787">
        <f t="shared" si="75"/>
        <v>5411</v>
      </c>
      <c r="F339" s="787">
        <f t="shared" si="75"/>
        <v>5423</v>
      </c>
      <c r="G339" s="787">
        <f t="shared" si="75"/>
        <v>5368</v>
      </c>
      <c r="H339" s="787">
        <f t="shared" si="75"/>
        <v>5293</v>
      </c>
      <c r="I339" s="787">
        <f t="shared" si="75"/>
        <v>5267</v>
      </c>
      <c r="J339" s="787">
        <f t="shared" si="75"/>
        <v>5284</v>
      </c>
      <c r="K339" s="787">
        <f t="shared" si="75"/>
        <v>5341</v>
      </c>
      <c r="L339" s="787">
        <f t="shared" si="75"/>
        <v>5347</v>
      </c>
      <c r="M339" s="787">
        <f t="shared" si="75"/>
        <v>5336</v>
      </c>
      <c r="N339" s="787">
        <f t="shared" si="75"/>
        <v>5326</v>
      </c>
      <c r="O339" s="788">
        <f t="shared" si="75"/>
        <v>5359.6666666666661</v>
      </c>
      <c r="P339" s="788">
        <f t="shared" si="74"/>
        <v>-449.16666666666697</v>
      </c>
      <c r="Q339" s="789">
        <f>SUM(P339/O338)</f>
        <v>-7.7324764008837171E-2</v>
      </c>
      <c r="R339" s="789">
        <f t="shared" si="73"/>
        <v>-5.2761809564714011E-2</v>
      </c>
    </row>
    <row r="340" spans="1:18" x14ac:dyDescent="0.2">
      <c r="A340" s="787"/>
      <c r="B340" s="787" t="s">
        <v>674</v>
      </c>
      <c r="C340" s="787">
        <f t="shared" si="75"/>
        <v>5219</v>
      </c>
      <c r="D340" s="787">
        <f t="shared" si="75"/>
        <v>5269</v>
      </c>
      <c r="E340" s="787">
        <f t="shared" si="75"/>
        <v>5324</v>
      </c>
      <c r="F340" s="787">
        <f t="shared" si="75"/>
        <v>5315</v>
      </c>
      <c r="G340" s="787">
        <f t="shared" si="75"/>
        <v>5268</v>
      </c>
      <c r="H340" s="787">
        <f t="shared" si="75"/>
        <v>5235</v>
      </c>
      <c r="I340" s="787">
        <f t="shared" si="75"/>
        <v>5264</v>
      </c>
      <c r="J340" s="787">
        <f t="shared" si="75"/>
        <v>5178</v>
      </c>
      <c r="K340" s="787">
        <f t="shared" si="75"/>
        <v>5152</v>
      </c>
      <c r="L340" s="787">
        <f t="shared" si="75"/>
        <v>5033</v>
      </c>
      <c r="M340" s="787">
        <f t="shared" si="75"/>
        <v>5006</v>
      </c>
      <c r="N340" s="787">
        <f t="shared" si="75"/>
        <v>4982</v>
      </c>
      <c r="O340" s="788">
        <f t="shared" si="75"/>
        <v>5187.0833333333339</v>
      </c>
      <c r="P340" s="788">
        <f t="shared" si="74"/>
        <v>-172.58333333333212</v>
      </c>
      <c r="Q340" s="789">
        <f>SUM(P340/O339)</f>
        <v>-3.2200385596118937E-2</v>
      </c>
      <c r="R340" s="789">
        <f t="shared" si="73"/>
        <v>-0.10872669062344156</v>
      </c>
    </row>
    <row r="341" spans="1:18" x14ac:dyDescent="0.2">
      <c r="A341" s="787"/>
      <c r="B341" s="787" t="s">
        <v>675</v>
      </c>
      <c r="C341" s="787">
        <f t="shared" si="75"/>
        <v>4882</v>
      </c>
      <c r="D341" s="787">
        <f t="shared" si="75"/>
        <v>4681</v>
      </c>
      <c r="E341" s="787">
        <f t="shared" si="75"/>
        <v>4495</v>
      </c>
      <c r="F341" s="787">
        <f t="shared" si="75"/>
        <v>4435</v>
      </c>
      <c r="G341" s="787">
        <f t="shared" si="75"/>
        <v>4323</v>
      </c>
      <c r="H341" s="787">
        <f t="shared" si="75"/>
        <v>4276</v>
      </c>
      <c r="I341" s="787">
        <f t="shared" si="75"/>
        <v>4217</v>
      </c>
      <c r="J341" s="787">
        <f t="shared" si="75"/>
        <v>4158</v>
      </c>
      <c r="K341" s="787">
        <f t="shared" si="75"/>
        <v>4144</v>
      </c>
      <c r="L341" s="787">
        <f t="shared" si="75"/>
        <v>4075</v>
      </c>
      <c r="M341" s="787">
        <f t="shared" si="75"/>
        <v>3998</v>
      </c>
      <c r="N341" s="787">
        <f t="shared" si="75"/>
        <v>3940</v>
      </c>
      <c r="O341" s="788">
        <f t="shared" si="75"/>
        <v>4301.9999999999991</v>
      </c>
      <c r="P341" s="788">
        <f t="shared" si="74"/>
        <v>-885.08333333333485</v>
      </c>
      <c r="Q341" s="789">
        <f>SUM(P341/O340)</f>
        <v>-0.17063217929150962</v>
      </c>
      <c r="R341" s="789">
        <f>SUM(Q335:Q341)</f>
        <v>-0.30166955842451709</v>
      </c>
    </row>
    <row r="342" spans="1:18" x14ac:dyDescent="0.2">
      <c r="A342" s="787"/>
      <c r="B342" s="787" t="s">
        <v>729</v>
      </c>
      <c r="C342" s="787">
        <f t="shared" si="75"/>
        <v>3856</v>
      </c>
      <c r="D342" s="787">
        <f t="shared" si="75"/>
        <v>3720</v>
      </c>
      <c r="E342" s="787">
        <f t="shared" si="75"/>
        <v>3727</v>
      </c>
      <c r="F342" s="787">
        <f t="shared" si="75"/>
        <v>3674</v>
      </c>
      <c r="G342" s="787">
        <f t="shared" si="75"/>
        <v>3583</v>
      </c>
      <c r="H342" s="787">
        <f t="shared" si="75"/>
        <v>3565</v>
      </c>
      <c r="I342" s="787">
        <f t="shared" si="75"/>
        <v>3522</v>
      </c>
      <c r="J342" s="787">
        <f t="shared" si="75"/>
        <v>3547</v>
      </c>
      <c r="K342" s="787">
        <f t="shared" si="75"/>
        <v>3669</v>
      </c>
      <c r="L342" s="787">
        <f t="shared" si="75"/>
        <v>3648</v>
      </c>
      <c r="M342" s="787">
        <f t="shared" si="75"/>
        <v>3725</v>
      </c>
      <c r="N342" s="787">
        <f t="shared" si="75"/>
        <v>3641</v>
      </c>
      <c r="O342" s="788">
        <f t="shared" si="75"/>
        <v>3656.4166666666665</v>
      </c>
      <c r="P342" s="788">
        <f t="shared" si="74"/>
        <v>-645.58333333333258</v>
      </c>
      <c r="Q342" s="789">
        <f>SUM(P342/O341)</f>
        <v>-0.15006586083991927</v>
      </c>
      <c r="R342" s="789">
        <f>SUM(Q336:Q342)</f>
        <v>-0.46918884411385497</v>
      </c>
    </row>
    <row r="343" spans="1:18" x14ac:dyDescent="0.2">
      <c r="A343" s="787"/>
      <c r="B343" s="790" t="s">
        <v>775</v>
      </c>
      <c r="C343" s="787">
        <f t="shared" si="75"/>
        <v>3581</v>
      </c>
      <c r="D343" s="787">
        <f t="shared" si="75"/>
        <v>3498</v>
      </c>
      <c r="E343" s="787">
        <f t="shared" si="75"/>
        <v>3542</v>
      </c>
      <c r="F343" s="787">
        <f t="shared" si="75"/>
        <v>3559</v>
      </c>
      <c r="G343" s="787">
        <f t="shared" si="75"/>
        <v>3567</v>
      </c>
      <c r="H343" s="787">
        <f t="shared" si="75"/>
        <v>3615</v>
      </c>
      <c r="I343" s="787">
        <f t="shared" si="75"/>
        <v>3638</v>
      </c>
      <c r="J343" s="787">
        <f t="shared" si="75"/>
        <v>3635</v>
      </c>
      <c r="K343" s="787">
        <f t="shared" si="75"/>
        <v>3647</v>
      </c>
      <c r="L343" s="787">
        <f t="shared" si="75"/>
        <v>3641</v>
      </c>
      <c r="M343" s="787">
        <f t="shared" si="75"/>
        <v>3770</v>
      </c>
      <c r="N343" s="787">
        <f t="shared" si="75"/>
        <v>3686</v>
      </c>
      <c r="O343" s="788">
        <f t="shared" si="75"/>
        <v>3614.9166666666665</v>
      </c>
      <c r="P343" s="788">
        <f>SUM(O343-O342)</f>
        <v>-41.5</v>
      </c>
      <c r="Q343" s="789">
        <f>SUM(P343/O342)</f>
        <v>-1.1349909975613647E-2</v>
      </c>
      <c r="R343" s="789">
        <f>SUM(Q337:Q343)</f>
        <v>-0.50844502646129508</v>
      </c>
    </row>
    <row r="345" spans="1:18" x14ac:dyDescent="0.2">
      <c r="A345" s="640" t="s">
        <v>803</v>
      </c>
      <c r="G345" s="791">
        <f>O343</f>
        <v>3614.9166666666665</v>
      </c>
    </row>
  </sheetData>
  <phoneticPr fontId="64" type="noConversion"/>
  <printOptions horizontalCentered="1"/>
  <pageMargins left="0" right="0" top="1" bottom="1" header="0.33" footer="0.5"/>
  <pageSetup scale="81" fitToHeight="0" orientation="landscape" r:id="rId1"/>
  <headerFooter alignWithMargins="0">
    <oddHeader>&amp;C&amp;"Arial,Bold"&amp;12DEPARTMENT OF CORRECTIONS
 COST OF CARE Year 2021
(Based on Fiscal Year 2020 Actuals)</oddHeader>
    <oddFooter>&amp;L&amp;8&amp;F &amp;A&amp;R&amp;8&amp;D &amp;T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tint="0.59999389629810485"/>
    <pageSetUpPr fitToPage="1"/>
  </sheetPr>
  <dimension ref="A1:Y93"/>
  <sheetViews>
    <sheetView showGridLines="0" topLeftCell="L1" zoomScale="85" zoomScaleNormal="85" workbookViewId="0">
      <selection activeCell="AB13" sqref="AB13"/>
    </sheetView>
  </sheetViews>
  <sheetFormatPr defaultRowHeight="12.75" x14ac:dyDescent="0.2"/>
  <cols>
    <col min="1" max="1" width="28" customWidth="1"/>
    <col min="2" max="2" width="10.28515625" customWidth="1"/>
    <col min="3" max="3" width="7.85546875" customWidth="1"/>
    <col min="4" max="4" width="8.5703125" bestFit="1" customWidth="1"/>
    <col min="5" max="5" width="9.140625"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s>
  <sheetData>
    <row r="1" spans="1:25" ht="18" customHeight="1" thickBot="1" x14ac:dyDescent="0.25">
      <c r="A1" s="769" t="s">
        <v>136</v>
      </c>
      <c r="B1" s="6"/>
      <c r="C1" s="6"/>
      <c r="D1" s="706"/>
      <c r="E1" s="706"/>
      <c r="F1" s="706"/>
      <c r="G1" s="8"/>
      <c r="H1" s="707"/>
      <c r="I1" s="8"/>
      <c r="J1" s="8"/>
      <c r="K1" s="8"/>
      <c r="L1" s="8"/>
      <c r="M1" s="8"/>
      <c r="N1" s="8"/>
      <c r="O1" s="8"/>
      <c r="P1" s="8"/>
      <c r="Q1" s="8"/>
      <c r="R1" s="8"/>
      <c r="S1" s="8"/>
      <c r="T1" s="8"/>
      <c r="U1" s="8"/>
      <c r="V1" s="8"/>
      <c r="W1" s="8"/>
      <c r="X1" s="8"/>
      <c r="Y1" s="8"/>
    </row>
    <row r="2" spans="1:25" ht="15" customHeight="1" thickBot="1" x14ac:dyDescent="0.3">
      <c r="A2" s="770" t="s">
        <v>799</v>
      </c>
      <c r="B2" s="927" t="s">
        <v>134</v>
      </c>
      <c r="C2" s="928"/>
      <c r="D2" s="928"/>
      <c r="E2" s="928"/>
      <c r="F2" s="928"/>
      <c r="G2" s="928"/>
      <c r="H2" s="928"/>
      <c r="I2" s="928"/>
      <c r="J2" s="928"/>
      <c r="K2" s="928"/>
      <c r="L2" s="928"/>
      <c r="M2" s="928"/>
      <c r="N2" s="928"/>
      <c r="O2" s="928"/>
      <c r="P2" s="928"/>
      <c r="Q2" s="928"/>
      <c r="R2" s="928"/>
      <c r="S2" s="928"/>
      <c r="T2" s="928"/>
      <c r="U2" s="928"/>
      <c r="V2" s="26"/>
      <c r="W2" s="26"/>
      <c r="X2" s="65"/>
      <c r="Y2" s="8"/>
    </row>
    <row r="3" spans="1:25" ht="15" customHeight="1" x14ac:dyDescent="0.25">
      <c r="A3" s="39"/>
      <c r="B3" s="27" t="s">
        <v>455</v>
      </c>
      <c r="C3" s="925" t="s">
        <v>456</v>
      </c>
      <c r="D3" s="708"/>
      <c r="E3" s="41"/>
      <c r="F3" s="41"/>
      <c r="G3" s="929" t="s">
        <v>228</v>
      </c>
      <c r="H3" s="931" t="s">
        <v>233</v>
      </c>
      <c r="I3" s="41"/>
      <c r="J3" s="41"/>
      <c r="K3" s="41"/>
      <c r="L3" s="929" t="s">
        <v>228</v>
      </c>
      <c r="M3" s="931" t="s">
        <v>233</v>
      </c>
      <c r="N3" s="41"/>
      <c r="O3" s="41"/>
      <c r="P3" s="41"/>
      <c r="Q3" s="929" t="s">
        <v>228</v>
      </c>
      <c r="R3" s="921" t="s">
        <v>233</v>
      </c>
      <c r="S3" s="41"/>
      <c r="T3" s="41"/>
      <c r="U3" s="42"/>
      <c r="V3" s="929" t="s">
        <v>228</v>
      </c>
      <c r="W3" s="921" t="s">
        <v>233</v>
      </c>
      <c r="X3" s="923" t="s">
        <v>798</v>
      </c>
      <c r="Y3" s="925" t="s">
        <v>136</v>
      </c>
    </row>
    <row r="4" spans="1:25" ht="20.25" customHeight="1" thickBot="1" x14ac:dyDescent="0.3">
      <c r="A4" s="32" t="s">
        <v>55</v>
      </c>
      <c r="B4" s="28" t="s">
        <v>457</v>
      </c>
      <c r="C4" s="926"/>
      <c r="D4" s="43">
        <v>43647</v>
      </c>
      <c r="E4" s="43">
        <v>43678</v>
      </c>
      <c r="F4" s="43">
        <v>43709</v>
      </c>
      <c r="G4" s="930"/>
      <c r="H4" s="932"/>
      <c r="I4" s="44">
        <v>43739</v>
      </c>
      <c r="J4" s="44">
        <v>43770</v>
      </c>
      <c r="K4" s="44">
        <v>43800</v>
      </c>
      <c r="L4" s="930"/>
      <c r="M4" s="932"/>
      <c r="N4" s="44">
        <v>43831</v>
      </c>
      <c r="O4" s="44">
        <v>43862</v>
      </c>
      <c r="P4" s="44">
        <v>43891</v>
      </c>
      <c r="Q4" s="930"/>
      <c r="R4" s="922"/>
      <c r="S4" s="44">
        <v>43922</v>
      </c>
      <c r="T4" s="44">
        <v>43952</v>
      </c>
      <c r="U4" s="44">
        <v>43983</v>
      </c>
      <c r="V4" s="930"/>
      <c r="W4" s="922"/>
      <c r="X4" s="924"/>
      <c r="Y4" s="926"/>
    </row>
    <row r="5" spans="1:25" ht="15" customHeight="1" thickBot="1" x14ac:dyDescent="0.3">
      <c r="A5" s="33" t="s">
        <v>243</v>
      </c>
      <c r="B5" s="29">
        <v>863</v>
      </c>
      <c r="C5" s="29">
        <v>829</v>
      </c>
      <c r="D5" s="83">
        <v>843</v>
      </c>
      <c r="E5" s="83">
        <v>863.3</v>
      </c>
      <c r="F5" s="79">
        <v>898.8</v>
      </c>
      <c r="G5" s="46">
        <f t="shared" ref="G5:G12" si="0">SUM(D5:F5)/3</f>
        <v>868.36666666666667</v>
      </c>
      <c r="H5" s="72">
        <f>G5*92</f>
        <v>79889.733333333337</v>
      </c>
      <c r="I5" s="79">
        <v>907.5</v>
      </c>
      <c r="J5" s="79">
        <v>921.6</v>
      </c>
      <c r="K5" s="79">
        <v>878.2</v>
      </c>
      <c r="L5" s="46">
        <f>SUM(I5:K5)/3</f>
        <v>902.43333333333339</v>
      </c>
      <c r="M5" s="72">
        <f>L5*92</f>
        <v>83023.866666666669</v>
      </c>
      <c r="N5" s="79">
        <v>873.7</v>
      </c>
      <c r="O5" s="60">
        <v>891</v>
      </c>
      <c r="P5" s="79">
        <v>879.8</v>
      </c>
      <c r="Q5" s="46">
        <f>SUM(N5:P5)/3</f>
        <v>881.5</v>
      </c>
      <c r="R5" s="72">
        <f>Q5*91</f>
        <v>80216.5</v>
      </c>
      <c r="S5" s="79">
        <v>815</v>
      </c>
      <c r="T5" s="60">
        <v>842.3</v>
      </c>
      <c r="U5" s="85">
        <v>908.4</v>
      </c>
      <c r="V5" s="46">
        <f>SUM(S5:U5)/3</f>
        <v>855.23333333333323</v>
      </c>
      <c r="W5" s="73">
        <f>V5*91</f>
        <v>77826.233333333323</v>
      </c>
      <c r="X5" s="47">
        <f>SUM(D5+E5+F5+I5+J5+K5+N5+O5+P5+S5+T5+U5)/12</f>
        <v>876.88333333333321</v>
      </c>
      <c r="Y5" s="48">
        <f>X5*366</f>
        <v>320939.29999999993</v>
      </c>
    </row>
    <row r="6" spans="1:25" ht="21.75" customHeight="1" thickBot="1" x14ac:dyDescent="0.3">
      <c r="A6" s="34" t="s">
        <v>121</v>
      </c>
      <c r="B6" s="29">
        <v>128</v>
      </c>
      <c r="C6" s="29">
        <v>126</v>
      </c>
      <c r="D6" s="84">
        <v>132.19999999999999</v>
      </c>
      <c r="E6" s="84">
        <v>135.1</v>
      </c>
      <c r="F6" s="80">
        <v>136.69999999999999</v>
      </c>
      <c r="G6" s="46">
        <f t="shared" si="0"/>
        <v>134.66666666666666</v>
      </c>
      <c r="H6" s="72">
        <f>G6*92</f>
        <v>12389.333333333332</v>
      </c>
      <c r="I6" s="80">
        <v>124.3</v>
      </c>
      <c r="J6" s="80">
        <v>120.6</v>
      </c>
      <c r="K6" s="80">
        <v>128.4</v>
      </c>
      <c r="L6" s="46">
        <f>SUM(I6:K6)/3</f>
        <v>124.43333333333332</v>
      </c>
      <c r="M6" s="72">
        <f>L6*92</f>
        <v>11447.866666666665</v>
      </c>
      <c r="N6" s="80">
        <v>120</v>
      </c>
      <c r="O6" s="61">
        <v>114.2</v>
      </c>
      <c r="P6" s="80">
        <v>113.5</v>
      </c>
      <c r="Q6" s="46">
        <f>SUM(N6:P6)/3</f>
        <v>115.89999999999999</v>
      </c>
      <c r="R6" s="72">
        <f t="shared" ref="R6:R30" si="1">Q6*91</f>
        <v>10546.9</v>
      </c>
      <c r="S6" s="80">
        <v>108.4</v>
      </c>
      <c r="T6" s="61">
        <v>120.3</v>
      </c>
      <c r="U6" s="63">
        <v>130.19999999999999</v>
      </c>
      <c r="V6" s="46">
        <f>SUM(S6:U6)/3</f>
        <v>119.63333333333333</v>
      </c>
      <c r="W6" s="73">
        <f>V6*91</f>
        <v>10886.633333333333</v>
      </c>
      <c r="X6" s="47">
        <f t="shared" ref="X6:X17" si="2">SUM(D6+E6+F6+I6+J6+K6+N6+O6+P6+S6+T6+U6)/12</f>
        <v>123.65833333333335</v>
      </c>
      <c r="Y6" s="48">
        <f t="shared" ref="Y6:Y30" si="3">X6*366</f>
        <v>45258.950000000004</v>
      </c>
    </row>
    <row r="7" spans="1:25" ht="17.25" customHeight="1" thickBot="1" x14ac:dyDescent="0.3">
      <c r="A7" s="35" t="s">
        <v>267</v>
      </c>
      <c r="B7" s="29">
        <v>259</v>
      </c>
      <c r="C7" s="29">
        <v>248</v>
      </c>
      <c r="D7" s="4">
        <v>279.5</v>
      </c>
      <c r="E7" s="4">
        <v>286.3</v>
      </c>
      <c r="F7" s="3">
        <v>292.10000000000002</v>
      </c>
      <c r="G7" s="46">
        <f t="shared" si="0"/>
        <v>285.96666666666664</v>
      </c>
      <c r="H7" s="72">
        <f>G7*92</f>
        <v>26308.933333333331</v>
      </c>
      <c r="I7" s="3">
        <v>269.89999999999998</v>
      </c>
      <c r="J7" s="3">
        <v>259.8</v>
      </c>
      <c r="K7" s="3">
        <v>263.3</v>
      </c>
      <c r="L7" s="46">
        <f>SUM(I7:K7)/3</f>
        <v>264.33333333333331</v>
      </c>
      <c r="M7" s="72">
        <f>L7*92</f>
        <v>24318.666666666664</v>
      </c>
      <c r="N7" s="3">
        <v>279.3</v>
      </c>
      <c r="O7" s="62">
        <v>288.3</v>
      </c>
      <c r="P7" s="3">
        <v>281.39999999999998</v>
      </c>
      <c r="Q7" s="46">
        <f>SUM(N7:P7)/3</f>
        <v>283</v>
      </c>
      <c r="R7" s="72">
        <f t="shared" si="1"/>
        <v>25753</v>
      </c>
      <c r="S7" s="3">
        <v>244.6</v>
      </c>
      <c r="T7" s="62">
        <v>267.5</v>
      </c>
      <c r="U7" s="64">
        <v>278.60000000000002</v>
      </c>
      <c r="V7" s="46">
        <f>SUM(S7:U7)/3</f>
        <v>263.56666666666666</v>
      </c>
      <c r="W7" s="73">
        <f>V7*91</f>
        <v>23984.566666666666</v>
      </c>
      <c r="X7" s="47">
        <f t="shared" si="2"/>
        <v>274.21666666666664</v>
      </c>
      <c r="Y7" s="48">
        <f t="shared" si="3"/>
        <v>100363.29999999999</v>
      </c>
    </row>
    <row r="8" spans="1:25" ht="15" customHeight="1" thickBot="1" x14ac:dyDescent="0.3">
      <c r="A8" s="35" t="s">
        <v>374</v>
      </c>
      <c r="B8" s="29">
        <v>1472</v>
      </c>
      <c r="C8" s="29">
        <v>1408</v>
      </c>
      <c r="D8" s="4">
        <v>1339.2</v>
      </c>
      <c r="E8" s="4">
        <v>1341.6</v>
      </c>
      <c r="F8" s="3">
        <v>1366.96</v>
      </c>
      <c r="G8" s="46">
        <f t="shared" si="0"/>
        <v>1349.2533333333333</v>
      </c>
      <c r="H8" s="72">
        <f>G8*92</f>
        <v>124131.30666666667</v>
      </c>
      <c r="I8" s="3">
        <v>1414.5</v>
      </c>
      <c r="J8" s="3">
        <v>1423.5</v>
      </c>
      <c r="K8" s="3">
        <v>1450.9</v>
      </c>
      <c r="L8" s="46">
        <f>SUM(I8:K8)/3</f>
        <v>1429.6333333333332</v>
      </c>
      <c r="M8" s="72">
        <f>L8*92</f>
        <v>131526.26666666666</v>
      </c>
      <c r="N8" s="3">
        <v>1442.9</v>
      </c>
      <c r="O8" s="62">
        <v>1433.1</v>
      </c>
      <c r="P8" s="3">
        <v>1427</v>
      </c>
      <c r="Q8" s="46">
        <f>SUM(N8:P8)/3</f>
        <v>1434.3333333333333</v>
      </c>
      <c r="R8" s="72">
        <f t="shared" si="1"/>
        <v>130524.33333333333</v>
      </c>
      <c r="S8" s="3">
        <v>1293.7</v>
      </c>
      <c r="T8" s="62">
        <v>1155.9000000000001</v>
      </c>
      <c r="U8" s="64">
        <v>1099.4000000000001</v>
      </c>
      <c r="V8" s="46">
        <f>SUM(S8:U8)/3</f>
        <v>1183.0000000000002</v>
      </c>
      <c r="W8" s="73">
        <f>V8*91</f>
        <v>107653.00000000001</v>
      </c>
      <c r="X8" s="47">
        <f t="shared" si="2"/>
        <v>1349.0550000000001</v>
      </c>
      <c r="Y8" s="48">
        <f t="shared" si="3"/>
        <v>493754.13</v>
      </c>
    </row>
    <row r="9" spans="1:25" ht="15" customHeight="1" thickBot="1" x14ac:dyDescent="0.3">
      <c r="A9" s="36" t="s">
        <v>231</v>
      </c>
      <c r="B9" s="29">
        <v>404</v>
      </c>
      <c r="C9" s="29">
        <v>395</v>
      </c>
      <c r="D9" s="4">
        <v>292.60000000000002</v>
      </c>
      <c r="E9" s="4">
        <v>298.89999999999998</v>
      </c>
      <c r="F9" s="3">
        <v>325.3</v>
      </c>
      <c r="G9" s="46">
        <f t="shared" si="0"/>
        <v>305.59999999999997</v>
      </c>
      <c r="H9" s="72">
        <f t="shared" ref="H9:H18" si="4">G9*92</f>
        <v>28115.199999999997</v>
      </c>
      <c r="I9" s="3">
        <v>337.5</v>
      </c>
      <c r="J9" s="3">
        <v>331</v>
      </c>
      <c r="K9" s="3">
        <v>315.39999999999998</v>
      </c>
      <c r="L9" s="46">
        <f t="shared" ref="L9:L19" si="5">SUM(I9:K9)/3</f>
        <v>327.96666666666664</v>
      </c>
      <c r="M9" s="72">
        <f t="shared" ref="M9:M19" si="6">L9*92</f>
        <v>30172.933333333331</v>
      </c>
      <c r="N9" s="3">
        <v>310.60000000000002</v>
      </c>
      <c r="O9" s="62">
        <v>295.7</v>
      </c>
      <c r="P9" s="3">
        <v>322.2</v>
      </c>
      <c r="Q9" s="46">
        <f t="shared" ref="Q9:Q19" si="7">SUM(N9:P9)/3</f>
        <v>309.5</v>
      </c>
      <c r="R9" s="72">
        <f t="shared" si="1"/>
        <v>28164.5</v>
      </c>
      <c r="S9" s="3">
        <v>272.60000000000002</v>
      </c>
      <c r="T9" s="62">
        <v>244.3</v>
      </c>
      <c r="U9" s="64">
        <v>257.89999999999998</v>
      </c>
      <c r="V9" s="46">
        <f t="shared" ref="V9:V19" si="8">SUM(S9:U9)/3</f>
        <v>258.26666666666671</v>
      </c>
      <c r="W9" s="73">
        <f t="shared" ref="W9:W19" si="9">V9*91</f>
        <v>23502.26666666667</v>
      </c>
      <c r="X9" s="47">
        <f t="shared" si="2"/>
        <v>300.33333333333331</v>
      </c>
      <c r="Y9" s="48">
        <f t="shared" si="3"/>
        <v>109922</v>
      </c>
    </row>
    <row r="10" spans="1:25" ht="15.75" customHeight="1" thickBot="1" x14ac:dyDescent="0.3">
      <c r="A10" s="35" t="s">
        <v>15</v>
      </c>
      <c r="B10" s="29">
        <v>58</v>
      </c>
      <c r="C10" s="29">
        <v>52</v>
      </c>
      <c r="D10" s="4">
        <v>55.3</v>
      </c>
      <c r="E10" s="4">
        <v>61.6</v>
      </c>
      <c r="F10" s="3">
        <v>56</v>
      </c>
      <c r="G10" s="46">
        <f t="shared" si="0"/>
        <v>57.633333333333333</v>
      </c>
      <c r="H10" s="72">
        <f t="shared" si="4"/>
        <v>5302.2666666666664</v>
      </c>
      <c r="I10" s="3">
        <v>61</v>
      </c>
      <c r="J10" s="3">
        <v>56.8</v>
      </c>
      <c r="K10" s="3">
        <v>59.9</v>
      </c>
      <c r="L10" s="46">
        <f t="shared" si="5"/>
        <v>59.233333333333327</v>
      </c>
      <c r="M10" s="72">
        <f t="shared" si="6"/>
        <v>5449.4666666666662</v>
      </c>
      <c r="N10" s="3">
        <v>68.400000000000006</v>
      </c>
      <c r="O10" s="62">
        <v>68.400000000000006</v>
      </c>
      <c r="P10" s="3">
        <v>64.5</v>
      </c>
      <c r="Q10" s="46">
        <f t="shared" si="7"/>
        <v>67.100000000000009</v>
      </c>
      <c r="R10" s="72">
        <f t="shared" si="1"/>
        <v>6106.1</v>
      </c>
      <c r="S10" s="3">
        <v>47.2</v>
      </c>
      <c r="T10" s="62">
        <v>46.7</v>
      </c>
      <c r="U10" s="64">
        <v>53.4</v>
      </c>
      <c r="V10" s="46">
        <f t="shared" si="8"/>
        <v>49.1</v>
      </c>
      <c r="W10" s="73">
        <f t="shared" si="9"/>
        <v>4468.1000000000004</v>
      </c>
      <c r="X10" s="47">
        <f t="shared" si="2"/>
        <v>58.266666666666673</v>
      </c>
      <c r="Y10" s="48">
        <f t="shared" si="3"/>
        <v>21325.600000000002</v>
      </c>
    </row>
    <row r="11" spans="1:25" ht="15" customHeight="1" thickBot="1" x14ac:dyDescent="0.3">
      <c r="A11" s="35" t="s">
        <v>16</v>
      </c>
      <c r="B11" s="29">
        <v>232</v>
      </c>
      <c r="C11" s="29">
        <v>226</v>
      </c>
      <c r="D11" s="4">
        <v>242.6</v>
      </c>
      <c r="E11" s="4">
        <v>256.8</v>
      </c>
      <c r="F11" s="3">
        <v>254.1</v>
      </c>
      <c r="G11" s="46">
        <f t="shared" si="0"/>
        <v>251.16666666666666</v>
      </c>
      <c r="H11" s="72">
        <f t="shared" si="4"/>
        <v>23107.333333333332</v>
      </c>
      <c r="I11" s="3">
        <v>226.7</v>
      </c>
      <c r="J11" s="3">
        <v>223.8</v>
      </c>
      <c r="K11" s="3">
        <v>230.9</v>
      </c>
      <c r="L11" s="46">
        <f t="shared" si="5"/>
        <v>227.13333333333333</v>
      </c>
      <c r="M11" s="72">
        <f t="shared" si="6"/>
        <v>20896.266666666666</v>
      </c>
      <c r="N11" s="3">
        <v>224.7</v>
      </c>
      <c r="O11" s="62">
        <v>250.3</v>
      </c>
      <c r="P11" s="3">
        <v>245.9</v>
      </c>
      <c r="Q11" s="46">
        <f t="shared" si="7"/>
        <v>240.29999999999998</v>
      </c>
      <c r="R11" s="72">
        <f t="shared" si="1"/>
        <v>21867.3</v>
      </c>
      <c r="S11" s="3">
        <v>217</v>
      </c>
      <c r="T11" s="62">
        <v>214.2</v>
      </c>
      <c r="U11" s="64">
        <v>212.8</v>
      </c>
      <c r="V11" s="46">
        <f t="shared" si="8"/>
        <v>214.66666666666666</v>
      </c>
      <c r="W11" s="73">
        <f t="shared" si="9"/>
        <v>19534.666666666664</v>
      </c>
      <c r="X11" s="47">
        <f t="shared" si="2"/>
        <v>233.31666666666669</v>
      </c>
      <c r="Y11" s="48">
        <f t="shared" si="3"/>
        <v>85393.900000000009</v>
      </c>
    </row>
    <row r="12" spans="1:25" ht="17.25" customHeight="1" thickBot="1" x14ac:dyDescent="0.3">
      <c r="A12" s="35" t="s">
        <v>122</v>
      </c>
      <c r="B12" s="29">
        <v>102</v>
      </c>
      <c r="C12" s="29">
        <v>98</v>
      </c>
      <c r="D12" s="4">
        <v>89.7</v>
      </c>
      <c r="E12" s="4">
        <v>84.6</v>
      </c>
      <c r="F12" s="3">
        <v>87.2</v>
      </c>
      <c r="G12" s="46">
        <f t="shared" si="0"/>
        <v>87.166666666666671</v>
      </c>
      <c r="H12" s="72">
        <f t="shared" si="4"/>
        <v>8019.3333333333339</v>
      </c>
      <c r="I12" s="3">
        <v>88.7</v>
      </c>
      <c r="J12" s="3">
        <v>93.4</v>
      </c>
      <c r="K12" s="3">
        <v>93.2</v>
      </c>
      <c r="L12" s="46">
        <f t="shared" si="5"/>
        <v>91.766666666666666</v>
      </c>
      <c r="M12" s="72">
        <f t="shared" si="6"/>
        <v>8442.5333333333328</v>
      </c>
      <c r="N12" s="3">
        <v>91.4</v>
      </c>
      <c r="O12" s="62">
        <v>100.8</v>
      </c>
      <c r="P12" s="3">
        <v>94.1</v>
      </c>
      <c r="Q12" s="46">
        <f t="shared" si="7"/>
        <v>95.433333333333323</v>
      </c>
      <c r="R12" s="72">
        <f t="shared" si="1"/>
        <v>8684.4333333333325</v>
      </c>
      <c r="S12" s="3">
        <v>79.599999999999994</v>
      </c>
      <c r="T12" s="62">
        <v>89</v>
      </c>
      <c r="U12" s="64">
        <v>93.4</v>
      </c>
      <c r="V12" s="46">
        <f t="shared" si="8"/>
        <v>87.333333333333329</v>
      </c>
      <c r="W12" s="73">
        <f t="shared" si="9"/>
        <v>7947.333333333333</v>
      </c>
      <c r="X12" s="47">
        <f t="shared" si="2"/>
        <v>90.425000000000011</v>
      </c>
      <c r="Y12" s="48">
        <f t="shared" si="3"/>
        <v>33095.550000000003</v>
      </c>
    </row>
    <row r="13" spans="1:25" ht="15.75" customHeight="1" thickBot="1" x14ac:dyDescent="0.3">
      <c r="A13" s="36" t="s">
        <v>232</v>
      </c>
      <c r="B13" s="29">
        <f>338+176</f>
        <v>514</v>
      </c>
      <c r="C13" s="29">
        <f>327+176</f>
        <v>503</v>
      </c>
      <c r="D13" s="670">
        <v>0</v>
      </c>
      <c r="E13" s="670">
        <v>0</v>
      </c>
      <c r="F13" s="3">
        <v>0</v>
      </c>
      <c r="G13" s="46">
        <f t="shared" ref="G13:G14" si="10">SUM(D13:F13)/3</f>
        <v>0</v>
      </c>
      <c r="H13" s="72">
        <f t="shared" si="4"/>
        <v>0</v>
      </c>
      <c r="I13" s="3">
        <v>0</v>
      </c>
      <c r="J13" s="3">
        <v>0</v>
      </c>
      <c r="K13" s="3">
        <v>0</v>
      </c>
      <c r="L13" s="46">
        <f t="shared" si="5"/>
        <v>0</v>
      </c>
      <c r="M13" s="72">
        <f t="shared" si="6"/>
        <v>0</v>
      </c>
      <c r="N13" s="3">
        <v>0</v>
      </c>
      <c r="O13" s="62">
        <v>0</v>
      </c>
      <c r="P13" s="3">
        <v>0</v>
      </c>
      <c r="Q13" s="46">
        <f t="shared" si="7"/>
        <v>0</v>
      </c>
      <c r="R13" s="72">
        <f t="shared" si="1"/>
        <v>0</v>
      </c>
      <c r="S13" s="3">
        <v>0</v>
      </c>
      <c r="T13" s="62">
        <v>0</v>
      </c>
      <c r="U13" s="64">
        <v>0</v>
      </c>
      <c r="V13" s="46">
        <f t="shared" si="8"/>
        <v>0</v>
      </c>
      <c r="W13" s="73">
        <f t="shared" si="9"/>
        <v>0</v>
      </c>
      <c r="X13" s="47">
        <f t="shared" si="2"/>
        <v>0</v>
      </c>
      <c r="Y13" s="48">
        <f t="shared" si="3"/>
        <v>0</v>
      </c>
    </row>
    <row r="14" spans="1:25" ht="15" customHeight="1" thickBot="1" x14ac:dyDescent="0.3">
      <c r="A14" s="35" t="s">
        <v>130</v>
      </c>
      <c r="B14" s="29">
        <v>128</v>
      </c>
      <c r="C14" s="29">
        <v>128</v>
      </c>
      <c r="D14" s="4">
        <v>100</v>
      </c>
      <c r="E14" s="4">
        <v>98.9</v>
      </c>
      <c r="F14" s="4">
        <v>89.8</v>
      </c>
      <c r="G14" s="46">
        <f t="shared" si="10"/>
        <v>96.233333333333334</v>
      </c>
      <c r="H14" s="72">
        <f t="shared" si="4"/>
        <v>8853.4666666666672</v>
      </c>
      <c r="I14" s="3">
        <v>87.5</v>
      </c>
      <c r="J14" s="4">
        <v>80.400000000000006</v>
      </c>
      <c r="K14" s="4">
        <v>73.5</v>
      </c>
      <c r="L14" s="46">
        <f t="shared" si="5"/>
        <v>80.466666666666669</v>
      </c>
      <c r="M14" s="72">
        <f t="shared" si="6"/>
        <v>7402.9333333333334</v>
      </c>
      <c r="N14" s="4">
        <v>74.900000000000006</v>
      </c>
      <c r="O14" s="4">
        <v>68.099999999999994</v>
      </c>
      <c r="P14" s="4">
        <v>75.8</v>
      </c>
      <c r="Q14" s="46">
        <f t="shared" si="7"/>
        <v>72.933333333333337</v>
      </c>
      <c r="R14" s="72">
        <f t="shared" si="1"/>
        <v>6636.9333333333334</v>
      </c>
      <c r="S14" s="4">
        <v>76.099999999999994</v>
      </c>
      <c r="T14" s="4">
        <v>64.900000000000006</v>
      </c>
      <c r="U14" s="4">
        <v>62.9</v>
      </c>
      <c r="V14" s="46">
        <f t="shared" si="8"/>
        <v>67.966666666666669</v>
      </c>
      <c r="W14" s="73">
        <f t="shared" si="9"/>
        <v>6184.9666666666672</v>
      </c>
      <c r="X14" s="47">
        <f t="shared" si="2"/>
        <v>79.399999999999991</v>
      </c>
      <c r="Y14" s="48">
        <f t="shared" si="3"/>
        <v>29060.399999999998</v>
      </c>
    </row>
    <row r="15" spans="1:25" ht="15" customHeight="1" thickBot="1" x14ac:dyDescent="0.3">
      <c r="A15" s="34" t="s">
        <v>19</v>
      </c>
      <c r="B15" s="29">
        <v>551</v>
      </c>
      <c r="C15" s="29">
        <v>535</v>
      </c>
      <c r="D15" s="84">
        <v>475.2</v>
      </c>
      <c r="E15" s="84">
        <v>488.9</v>
      </c>
      <c r="F15" s="80">
        <v>492.6</v>
      </c>
      <c r="G15" s="46">
        <f>SUM(D15:F15)/3</f>
        <v>485.56666666666661</v>
      </c>
      <c r="H15" s="72">
        <f t="shared" si="4"/>
        <v>44672.133333333331</v>
      </c>
      <c r="I15" s="80">
        <v>502.4</v>
      </c>
      <c r="J15" s="3">
        <v>512.9</v>
      </c>
      <c r="K15" s="80">
        <v>535.9</v>
      </c>
      <c r="L15" s="46">
        <f t="shared" si="5"/>
        <v>517.06666666666661</v>
      </c>
      <c r="M15" s="73">
        <f t="shared" si="6"/>
        <v>47570.133333333331</v>
      </c>
      <c r="N15" s="3">
        <v>533.1</v>
      </c>
      <c r="O15" s="61">
        <v>533.4</v>
      </c>
      <c r="P15" s="3">
        <v>543.1</v>
      </c>
      <c r="Q15" s="46">
        <f t="shared" si="7"/>
        <v>536.5333333333333</v>
      </c>
      <c r="R15" s="72">
        <f t="shared" si="1"/>
        <v>48824.533333333333</v>
      </c>
      <c r="S15" s="3">
        <v>529.5</v>
      </c>
      <c r="T15" s="61">
        <v>515.70000000000005</v>
      </c>
      <c r="U15" s="63">
        <v>514.79999999999995</v>
      </c>
      <c r="V15" s="46">
        <f t="shared" si="8"/>
        <v>520</v>
      </c>
      <c r="W15" s="73">
        <f t="shared" si="9"/>
        <v>47320</v>
      </c>
      <c r="X15" s="47">
        <f t="shared" si="2"/>
        <v>514.79166666666663</v>
      </c>
      <c r="Y15" s="48">
        <f t="shared" si="3"/>
        <v>188413.75</v>
      </c>
    </row>
    <row r="16" spans="1:25" ht="15" customHeight="1" thickBot="1" x14ac:dyDescent="0.3">
      <c r="A16" s="36" t="s">
        <v>372</v>
      </c>
      <c r="B16" s="29">
        <f>360+116</f>
        <v>476</v>
      </c>
      <c r="C16" s="29">
        <f>354+111</f>
        <v>465</v>
      </c>
      <c r="D16" s="4">
        <f>315.2+108.3</f>
        <v>423.5</v>
      </c>
      <c r="E16" s="4">
        <f>331.5+108.6</f>
        <v>440.1</v>
      </c>
      <c r="F16" s="3">
        <f>335.8+123.9</f>
        <v>459.70000000000005</v>
      </c>
      <c r="G16" s="46">
        <f>SUM(D16:F16)/3</f>
        <v>441.10000000000008</v>
      </c>
      <c r="H16" s="72">
        <f t="shared" si="4"/>
        <v>40581.200000000004</v>
      </c>
      <c r="I16" s="3">
        <f>334.4+110.4</f>
        <v>444.79999999999995</v>
      </c>
      <c r="J16" s="3">
        <f>338.1+111.2</f>
        <v>449.3</v>
      </c>
      <c r="K16" s="3">
        <f>354.9+108</f>
        <v>462.9</v>
      </c>
      <c r="L16" s="46">
        <f t="shared" si="5"/>
        <v>452.33333333333331</v>
      </c>
      <c r="M16" s="72">
        <f t="shared" si="6"/>
        <v>41614.666666666664</v>
      </c>
      <c r="N16" s="3">
        <f>360.9+106.5</f>
        <v>467.4</v>
      </c>
      <c r="O16" s="62">
        <f>361.9+105.7</f>
        <v>467.59999999999997</v>
      </c>
      <c r="P16" s="3">
        <f>356.1+104.1</f>
        <v>460.20000000000005</v>
      </c>
      <c r="Q16" s="46">
        <f t="shared" si="7"/>
        <v>465.06666666666666</v>
      </c>
      <c r="R16" s="72">
        <f t="shared" si="1"/>
        <v>42321.066666666666</v>
      </c>
      <c r="S16" s="3">
        <f>327+90.2</f>
        <v>417.2</v>
      </c>
      <c r="T16" s="62">
        <f>312.8+99.4</f>
        <v>412.20000000000005</v>
      </c>
      <c r="U16" s="64">
        <f>314+94.7</f>
        <v>408.7</v>
      </c>
      <c r="V16" s="46">
        <f t="shared" si="8"/>
        <v>412.70000000000005</v>
      </c>
      <c r="W16" s="73">
        <f t="shared" si="9"/>
        <v>37555.700000000004</v>
      </c>
      <c r="X16" s="47">
        <f t="shared" si="2"/>
        <v>442.79999999999995</v>
      </c>
      <c r="Y16" s="48">
        <f t="shared" si="3"/>
        <v>162064.79999999999</v>
      </c>
    </row>
    <row r="17" spans="1:25" ht="15" customHeight="1" thickBot="1" x14ac:dyDescent="0.3">
      <c r="A17" s="35" t="s">
        <v>123</v>
      </c>
      <c r="B17" s="29">
        <v>200</v>
      </c>
      <c r="C17" s="29">
        <v>189</v>
      </c>
      <c r="D17" s="4">
        <v>202.5</v>
      </c>
      <c r="E17" s="4">
        <v>197</v>
      </c>
      <c r="F17" s="3">
        <v>204.6</v>
      </c>
      <c r="G17" s="46">
        <f>SUM(D17:F17)/3</f>
        <v>201.36666666666667</v>
      </c>
      <c r="H17" s="72">
        <f t="shared" si="4"/>
        <v>18525.733333333334</v>
      </c>
      <c r="I17" s="3">
        <v>223.9</v>
      </c>
      <c r="J17" s="3">
        <v>214.6</v>
      </c>
      <c r="K17" s="3">
        <v>215.5</v>
      </c>
      <c r="L17" s="46">
        <f t="shared" si="5"/>
        <v>218</v>
      </c>
      <c r="M17" s="72">
        <f t="shared" si="6"/>
        <v>20056</v>
      </c>
      <c r="N17" s="3">
        <v>223.9</v>
      </c>
      <c r="O17" s="62">
        <v>213.6</v>
      </c>
      <c r="P17" s="3">
        <v>208.9</v>
      </c>
      <c r="Q17" s="46">
        <f t="shared" si="7"/>
        <v>215.46666666666667</v>
      </c>
      <c r="R17" s="72">
        <f t="shared" si="1"/>
        <v>19607.466666666667</v>
      </c>
      <c r="S17" s="3">
        <v>175.6</v>
      </c>
      <c r="T17" s="62">
        <v>176.4</v>
      </c>
      <c r="U17" s="64">
        <v>187.8</v>
      </c>
      <c r="V17" s="46">
        <f t="shared" si="8"/>
        <v>179.93333333333331</v>
      </c>
      <c r="W17" s="73">
        <f t="shared" si="9"/>
        <v>16373.933333333331</v>
      </c>
      <c r="X17" s="47">
        <f t="shared" si="2"/>
        <v>203.69166666666669</v>
      </c>
      <c r="Y17" s="48">
        <f t="shared" si="3"/>
        <v>74551.150000000009</v>
      </c>
    </row>
    <row r="18" spans="1:25" ht="15" customHeight="1" thickBot="1" x14ac:dyDescent="0.3">
      <c r="A18" s="35" t="s">
        <v>124</v>
      </c>
      <c r="B18" s="22"/>
      <c r="C18" s="22"/>
      <c r="D18" s="4">
        <v>0</v>
      </c>
      <c r="E18" s="4">
        <v>0</v>
      </c>
      <c r="F18" s="4">
        <v>0</v>
      </c>
      <c r="G18" s="49">
        <f>SUM(D18:F18)/3</f>
        <v>0</v>
      </c>
      <c r="H18" s="72">
        <f t="shared" si="4"/>
        <v>0</v>
      </c>
      <c r="I18" s="4">
        <v>0</v>
      </c>
      <c r="J18" s="4">
        <v>0</v>
      </c>
      <c r="K18" s="4">
        <v>0</v>
      </c>
      <c r="L18" s="49">
        <f t="shared" si="5"/>
        <v>0</v>
      </c>
      <c r="M18" s="72">
        <f t="shared" si="6"/>
        <v>0</v>
      </c>
      <c r="N18" s="4">
        <v>0</v>
      </c>
      <c r="O18" s="4">
        <v>0</v>
      </c>
      <c r="P18" s="4">
        <v>0</v>
      </c>
      <c r="Q18" s="49">
        <f t="shared" si="7"/>
        <v>0</v>
      </c>
      <c r="R18" s="72">
        <f t="shared" si="1"/>
        <v>0</v>
      </c>
      <c r="S18" s="3" t="s">
        <v>97</v>
      </c>
      <c r="T18" s="3" t="s">
        <v>97</v>
      </c>
      <c r="U18" s="4" t="s">
        <v>97</v>
      </c>
      <c r="V18" s="49">
        <f t="shared" si="8"/>
        <v>0</v>
      </c>
      <c r="W18" s="74">
        <f t="shared" si="9"/>
        <v>0</v>
      </c>
      <c r="X18" s="47">
        <v>0</v>
      </c>
      <c r="Y18" s="48">
        <f t="shared" si="3"/>
        <v>0</v>
      </c>
    </row>
    <row r="19" spans="1:25" ht="15" customHeight="1" thickBot="1" x14ac:dyDescent="0.3">
      <c r="A19" s="484" t="s">
        <v>131</v>
      </c>
      <c r="B19" s="485"/>
      <c r="C19" s="485"/>
      <c r="D19" s="486">
        <f>SUM(D5:D18)</f>
        <v>4475.2999999999993</v>
      </c>
      <c r="E19" s="486">
        <f>SUM(E5:E18)</f>
        <v>4553.1000000000004</v>
      </c>
      <c r="F19" s="486">
        <f>SUM(F5:F18)</f>
        <v>4663.8600000000006</v>
      </c>
      <c r="G19" s="487">
        <f>SUM(D19:F19)/3</f>
        <v>4564.086666666667</v>
      </c>
      <c r="H19" s="488">
        <f>G19*92</f>
        <v>419895.97333333339</v>
      </c>
      <c r="I19" s="489">
        <f>SUM(I5:I18)</f>
        <v>4688.6999999999989</v>
      </c>
      <c r="J19" s="486">
        <f>SUM(J5:J18)</f>
        <v>4687.7000000000007</v>
      </c>
      <c r="K19" s="486">
        <f>SUM(K5:K18)</f>
        <v>4708</v>
      </c>
      <c r="L19" s="487">
        <f t="shared" si="5"/>
        <v>4694.8</v>
      </c>
      <c r="M19" s="490">
        <f t="shared" si="6"/>
        <v>431921.60000000003</v>
      </c>
      <c r="N19" s="491">
        <f>SUM(N5:N18)</f>
        <v>4710.2999999999993</v>
      </c>
      <c r="O19" s="486">
        <f>SUM(O5:O18)</f>
        <v>4724.5000000000009</v>
      </c>
      <c r="P19" s="486">
        <f>SUM(P5:P18)</f>
        <v>4716.3999999999996</v>
      </c>
      <c r="Q19" s="487">
        <f t="shared" si="7"/>
        <v>4717.0666666666666</v>
      </c>
      <c r="R19" s="72">
        <f t="shared" si="1"/>
        <v>429253.06666666665</v>
      </c>
      <c r="S19" s="489">
        <f>SUM(S5:S18)</f>
        <v>4276.5</v>
      </c>
      <c r="T19" s="486">
        <f>SUM(T5:T17)</f>
        <v>4149.3999999999996</v>
      </c>
      <c r="U19" s="492">
        <f>SUM(U5:U18)</f>
        <v>4208.3</v>
      </c>
      <c r="V19" s="487">
        <f t="shared" si="8"/>
        <v>4211.4000000000005</v>
      </c>
      <c r="W19" s="493">
        <f t="shared" si="9"/>
        <v>383237.4</v>
      </c>
      <c r="X19" s="494">
        <f>SUM(D19+E19+F19+I19+J19+K19+N19+O19+P19+S19+T19+U19)/12</f>
        <v>4546.838333333334</v>
      </c>
      <c r="Y19" s="494">
        <f t="shared" si="3"/>
        <v>1664142.8300000003</v>
      </c>
    </row>
    <row r="20" spans="1:25" ht="15" customHeight="1" thickBot="1" x14ac:dyDescent="0.3">
      <c r="A20" s="31" t="s">
        <v>132</v>
      </c>
      <c r="B20" s="23"/>
      <c r="C20" s="23"/>
      <c r="D20" s="709"/>
      <c r="E20" s="709"/>
      <c r="F20" s="710"/>
      <c r="G20" s="70"/>
      <c r="H20" s="70"/>
      <c r="I20" s="54"/>
      <c r="J20" s="52"/>
      <c r="K20" s="53"/>
      <c r="L20" s="69"/>
      <c r="M20" s="69"/>
      <c r="N20" s="54"/>
      <c r="O20" s="52"/>
      <c r="P20" s="53"/>
      <c r="Q20" s="69"/>
      <c r="R20" s="72">
        <f t="shared" si="1"/>
        <v>0</v>
      </c>
      <c r="S20" s="54"/>
      <c r="T20" s="52"/>
      <c r="U20" s="53"/>
      <c r="V20" s="53"/>
      <c r="W20" s="52"/>
      <c r="X20" s="68"/>
      <c r="Y20" s="48">
        <f t="shared" si="3"/>
        <v>0</v>
      </c>
    </row>
    <row r="21" spans="1:25" ht="15" customHeight="1" thickBot="1" x14ac:dyDescent="0.3">
      <c r="A21" s="771" t="s">
        <v>125</v>
      </c>
      <c r="B21" s="772">
        <f>463+56</f>
        <v>519</v>
      </c>
      <c r="C21" s="773" t="s">
        <v>97</v>
      </c>
      <c r="D21" s="774">
        <f>196.55+43.23</f>
        <v>239.78</v>
      </c>
      <c r="E21" s="774">
        <v>239.77</v>
      </c>
      <c r="F21" s="774">
        <v>240.8</v>
      </c>
      <c r="G21" s="775">
        <f t="shared" ref="G21:G24" si="11">SUM(D21:F21)/3</f>
        <v>240.11666666666667</v>
      </c>
      <c r="H21" s="776">
        <f t="shared" ref="H21:H29" si="12">G21*92</f>
        <v>22090.733333333334</v>
      </c>
      <c r="I21" s="774">
        <v>239.29</v>
      </c>
      <c r="J21" s="774">
        <v>201.73</v>
      </c>
      <c r="K21" s="774">
        <v>201.73</v>
      </c>
      <c r="L21" s="775">
        <f t="shared" ref="L21:L24" si="13">SUM(I21:K21)/3</f>
        <v>214.25</v>
      </c>
      <c r="M21" s="776">
        <f t="shared" ref="M21:M29" si="14">L21*92</f>
        <v>19711</v>
      </c>
      <c r="N21" s="774">
        <v>248.16</v>
      </c>
      <c r="O21" s="777">
        <v>270.89999999999998</v>
      </c>
      <c r="P21" s="777">
        <v>259.70999999999998</v>
      </c>
      <c r="Q21" s="775">
        <f t="shared" ref="Q21:Q30" si="15">SUM(N21:P21)/3</f>
        <v>259.58999999999997</v>
      </c>
      <c r="R21" s="776">
        <f t="shared" si="1"/>
        <v>23622.69</v>
      </c>
      <c r="S21" s="774">
        <v>267.89999999999998</v>
      </c>
      <c r="T21" s="777">
        <f>231.26+37.61</f>
        <v>268.87</v>
      </c>
      <c r="U21" s="778">
        <v>275.37</v>
      </c>
      <c r="V21" s="775">
        <f t="shared" ref="V21:V30" si="16">SUM(S21:U21)/3</f>
        <v>270.71333333333331</v>
      </c>
      <c r="W21" s="779">
        <f t="shared" ref="W21:W29" si="17">V21*91</f>
        <v>24634.91333333333</v>
      </c>
      <c r="X21" s="780">
        <f t="shared" ref="X21:X26" si="18">SUM(D21+E21+F21+I21+J21+K21+N21+O21+P21+S21+T21+U21)/12</f>
        <v>246.16749999999999</v>
      </c>
      <c r="Y21" s="781">
        <f t="shared" si="3"/>
        <v>90097.304999999993</v>
      </c>
    </row>
    <row r="22" spans="1:25" ht="15" customHeight="1" thickBot="1" x14ac:dyDescent="0.3">
      <c r="A22" s="35" t="s">
        <v>126</v>
      </c>
      <c r="B22" s="671" t="s">
        <v>97</v>
      </c>
      <c r="C22" s="409" t="s">
        <v>97</v>
      </c>
      <c r="D22" s="5">
        <v>0</v>
      </c>
      <c r="E22" s="5">
        <v>0</v>
      </c>
      <c r="F22" s="5">
        <v>0</v>
      </c>
      <c r="G22" s="46">
        <f t="shared" si="11"/>
        <v>0</v>
      </c>
      <c r="H22" s="72">
        <f t="shared" si="12"/>
        <v>0</v>
      </c>
      <c r="I22" s="5">
        <v>0</v>
      </c>
      <c r="J22" s="5">
        <v>0</v>
      </c>
      <c r="K22" s="5">
        <v>0</v>
      </c>
      <c r="L22" s="46">
        <f t="shared" si="13"/>
        <v>0</v>
      </c>
      <c r="M22" s="72">
        <f t="shared" si="14"/>
        <v>0</v>
      </c>
      <c r="N22" s="5">
        <v>0</v>
      </c>
      <c r="O22" s="55">
        <v>0</v>
      </c>
      <c r="P22" s="55">
        <v>0</v>
      </c>
      <c r="Q22" s="46">
        <f t="shared" si="15"/>
        <v>0</v>
      </c>
      <c r="R22" s="72">
        <f t="shared" si="1"/>
        <v>0</v>
      </c>
      <c r="S22" s="5">
        <v>0</v>
      </c>
      <c r="T22" s="55">
        <v>0</v>
      </c>
      <c r="U22" s="56">
        <v>0</v>
      </c>
      <c r="V22" s="46">
        <f t="shared" si="16"/>
        <v>0</v>
      </c>
      <c r="W22" s="73">
        <f t="shared" si="17"/>
        <v>0</v>
      </c>
      <c r="X22" s="47">
        <f t="shared" si="18"/>
        <v>0</v>
      </c>
      <c r="Y22" s="48">
        <f t="shared" si="3"/>
        <v>0</v>
      </c>
    </row>
    <row r="23" spans="1:25" ht="15" customHeight="1" thickBot="1" x14ac:dyDescent="0.3">
      <c r="A23" s="35" t="s">
        <v>128</v>
      </c>
      <c r="B23" s="672">
        <v>19</v>
      </c>
      <c r="C23" s="409" t="s">
        <v>97</v>
      </c>
      <c r="D23" s="5">
        <v>11.87</v>
      </c>
      <c r="E23" s="5">
        <v>11.87</v>
      </c>
      <c r="F23" s="5">
        <v>9.24</v>
      </c>
      <c r="G23" s="46">
        <f t="shared" si="11"/>
        <v>10.993333333333332</v>
      </c>
      <c r="H23" s="72">
        <f t="shared" si="12"/>
        <v>1011.3866666666665</v>
      </c>
      <c r="I23" s="5">
        <v>8.9</v>
      </c>
      <c r="J23" s="5">
        <v>9.1300000000000008</v>
      </c>
      <c r="K23" s="5">
        <v>9.1300000000000008</v>
      </c>
      <c r="L23" s="46">
        <f t="shared" si="13"/>
        <v>9.0533333333333346</v>
      </c>
      <c r="M23" s="72">
        <f t="shared" si="14"/>
        <v>832.90666666666675</v>
      </c>
      <c r="N23" s="5">
        <v>6.94</v>
      </c>
      <c r="O23" s="55">
        <v>7.83</v>
      </c>
      <c r="P23" s="55">
        <v>8.61</v>
      </c>
      <c r="Q23" s="46">
        <f t="shared" si="15"/>
        <v>7.793333333333333</v>
      </c>
      <c r="R23" s="72">
        <f t="shared" si="1"/>
        <v>709.19333333333327</v>
      </c>
      <c r="S23" s="5">
        <v>11.27</v>
      </c>
      <c r="T23" s="55">
        <f>13.61+0</f>
        <v>13.61</v>
      </c>
      <c r="U23" s="56">
        <v>11.6</v>
      </c>
      <c r="V23" s="46">
        <f t="shared" si="16"/>
        <v>12.159999999999998</v>
      </c>
      <c r="W23" s="73">
        <f t="shared" si="17"/>
        <v>1106.56</v>
      </c>
      <c r="X23" s="47">
        <f t="shared" si="18"/>
        <v>9.9999999999999982</v>
      </c>
      <c r="Y23" s="48">
        <f t="shared" si="3"/>
        <v>3659.9999999999995</v>
      </c>
    </row>
    <row r="24" spans="1:25" ht="15" customHeight="1" thickBot="1" x14ac:dyDescent="0.3">
      <c r="A24" s="35" t="s">
        <v>127</v>
      </c>
      <c r="B24" s="672" t="s">
        <v>373</v>
      </c>
      <c r="C24" s="409" t="s">
        <v>97</v>
      </c>
      <c r="D24" s="5">
        <v>153</v>
      </c>
      <c r="E24" s="5">
        <v>153</v>
      </c>
      <c r="F24" s="5">
        <v>150</v>
      </c>
      <c r="G24" s="46">
        <f t="shared" si="11"/>
        <v>152</v>
      </c>
      <c r="H24" s="72">
        <f t="shared" si="12"/>
        <v>13984</v>
      </c>
      <c r="I24" s="5">
        <v>137</v>
      </c>
      <c r="J24" s="5">
        <v>140</v>
      </c>
      <c r="K24" s="5">
        <v>140</v>
      </c>
      <c r="L24" s="46">
        <f t="shared" si="13"/>
        <v>139</v>
      </c>
      <c r="M24" s="72">
        <f t="shared" si="14"/>
        <v>12788</v>
      </c>
      <c r="N24" s="5">
        <v>141</v>
      </c>
      <c r="O24" s="55">
        <v>153</v>
      </c>
      <c r="P24" s="55">
        <v>169</v>
      </c>
      <c r="Q24" s="46">
        <f t="shared" si="15"/>
        <v>154.33333333333334</v>
      </c>
      <c r="R24" s="72">
        <f t="shared" si="1"/>
        <v>14044.333333333334</v>
      </c>
      <c r="S24" s="5">
        <v>168</v>
      </c>
      <c r="T24" s="55">
        <v>156</v>
      </c>
      <c r="U24" s="56">
        <v>161</v>
      </c>
      <c r="V24" s="46">
        <f t="shared" si="16"/>
        <v>161.66666666666666</v>
      </c>
      <c r="W24" s="73">
        <f t="shared" si="17"/>
        <v>14711.666666666666</v>
      </c>
      <c r="X24" s="47">
        <f t="shared" si="18"/>
        <v>151.75</v>
      </c>
      <c r="Y24" s="48">
        <f t="shared" si="3"/>
        <v>55540.5</v>
      </c>
    </row>
    <row r="25" spans="1:25" ht="15" customHeight="1" thickBot="1" x14ac:dyDescent="0.3">
      <c r="A25" s="711" t="s">
        <v>760</v>
      </c>
      <c r="B25" s="712" t="s">
        <v>373</v>
      </c>
      <c r="C25" s="713" t="s">
        <v>97</v>
      </c>
      <c r="D25" s="714">
        <v>3</v>
      </c>
      <c r="E25" s="714">
        <v>3</v>
      </c>
      <c r="F25" s="714">
        <v>1</v>
      </c>
      <c r="G25" s="715">
        <f t="shared" ref="G25" si="19">SUM(D25:F25)/3</f>
        <v>2.3333333333333335</v>
      </c>
      <c r="H25" s="716">
        <f t="shared" si="12"/>
        <v>214.66666666666669</v>
      </c>
      <c r="I25" s="714">
        <v>0</v>
      </c>
      <c r="J25" s="714">
        <v>0</v>
      </c>
      <c r="K25" s="714">
        <v>0</v>
      </c>
      <c r="L25" s="715">
        <f t="shared" ref="L25" si="20">SUM(I25:K25)/3</f>
        <v>0</v>
      </c>
      <c r="M25" s="716">
        <f t="shared" si="14"/>
        <v>0</v>
      </c>
      <c r="N25" s="714">
        <v>0</v>
      </c>
      <c r="O25" s="717">
        <v>0</v>
      </c>
      <c r="P25" s="717">
        <v>0</v>
      </c>
      <c r="Q25" s="715">
        <f t="shared" si="15"/>
        <v>0</v>
      </c>
      <c r="R25" s="72">
        <f t="shared" si="1"/>
        <v>0</v>
      </c>
      <c r="S25" s="714">
        <v>0</v>
      </c>
      <c r="T25" s="717">
        <v>0</v>
      </c>
      <c r="U25" s="718">
        <v>0</v>
      </c>
      <c r="V25" s="715">
        <f t="shared" si="16"/>
        <v>0</v>
      </c>
      <c r="W25" s="719">
        <f t="shared" si="17"/>
        <v>0</v>
      </c>
      <c r="X25" s="720">
        <f t="shared" si="18"/>
        <v>0.58333333333333337</v>
      </c>
      <c r="Y25" s="720">
        <f t="shared" si="3"/>
        <v>213.5</v>
      </c>
    </row>
    <row r="26" spans="1:25" ht="15" customHeight="1" thickBot="1" x14ac:dyDescent="0.3">
      <c r="A26" s="711" t="s">
        <v>761</v>
      </c>
      <c r="B26" s="712" t="s">
        <v>373</v>
      </c>
      <c r="C26" s="713" t="s">
        <v>97</v>
      </c>
      <c r="D26" s="714">
        <v>1048</v>
      </c>
      <c r="E26" s="714">
        <v>1048</v>
      </c>
      <c r="F26" s="714">
        <v>1121</v>
      </c>
      <c r="G26" s="715">
        <f t="shared" ref="G26:G29" si="21">SUM(D26:F26)/3</f>
        <v>1072.3333333333333</v>
      </c>
      <c r="H26" s="716">
        <f t="shared" si="12"/>
        <v>98654.666666666657</v>
      </c>
      <c r="I26" s="714">
        <v>1121</v>
      </c>
      <c r="J26" s="714">
        <v>1121</v>
      </c>
      <c r="K26" s="714">
        <v>1121</v>
      </c>
      <c r="L26" s="715">
        <f t="shared" ref="L26:L30" si="22">SUM(I26:K26)/3</f>
        <v>1121</v>
      </c>
      <c r="M26" s="716">
        <f t="shared" si="14"/>
        <v>103132</v>
      </c>
      <c r="N26" s="714">
        <v>1121</v>
      </c>
      <c r="O26" s="717">
        <v>1121</v>
      </c>
      <c r="P26" s="717">
        <v>1121</v>
      </c>
      <c r="Q26" s="715">
        <f t="shared" si="15"/>
        <v>1121</v>
      </c>
      <c r="R26" s="72">
        <f t="shared" si="1"/>
        <v>102011</v>
      </c>
      <c r="S26" s="714">
        <v>1133</v>
      </c>
      <c r="T26" s="717">
        <v>1121</v>
      </c>
      <c r="U26" s="718">
        <v>1121</v>
      </c>
      <c r="V26" s="715">
        <f t="shared" si="16"/>
        <v>1125</v>
      </c>
      <c r="W26" s="719">
        <f t="shared" si="17"/>
        <v>102375</v>
      </c>
      <c r="X26" s="720">
        <f t="shared" si="18"/>
        <v>1109.8333333333333</v>
      </c>
      <c r="Y26" s="720">
        <f t="shared" si="3"/>
        <v>406199</v>
      </c>
    </row>
    <row r="27" spans="1:25" ht="15" customHeight="1" thickBot="1" x14ac:dyDescent="0.3">
      <c r="A27" s="35" t="s">
        <v>286</v>
      </c>
      <c r="B27" s="672" t="s">
        <v>373</v>
      </c>
      <c r="C27" s="409" t="s">
        <v>97</v>
      </c>
      <c r="D27" s="5" t="s">
        <v>443</v>
      </c>
      <c r="E27" s="5" t="s">
        <v>443</v>
      </c>
      <c r="F27" s="5" t="s">
        <v>443</v>
      </c>
      <c r="G27" s="46">
        <f t="shared" si="21"/>
        <v>0</v>
      </c>
      <c r="H27" s="72">
        <f t="shared" si="12"/>
        <v>0</v>
      </c>
      <c r="I27" s="5" t="s">
        <v>443</v>
      </c>
      <c r="J27" s="5" t="s">
        <v>443</v>
      </c>
      <c r="K27" s="5" t="s">
        <v>443</v>
      </c>
      <c r="L27" s="46">
        <f t="shared" si="22"/>
        <v>0</v>
      </c>
      <c r="M27" s="72">
        <f t="shared" si="14"/>
        <v>0</v>
      </c>
      <c r="N27" s="5" t="s">
        <v>443</v>
      </c>
      <c r="O27" s="5" t="s">
        <v>443</v>
      </c>
      <c r="P27" s="5" t="s">
        <v>443</v>
      </c>
      <c r="Q27" s="46">
        <f t="shared" si="15"/>
        <v>0</v>
      </c>
      <c r="R27" s="72">
        <f t="shared" si="1"/>
        <v>0</v>
      </c>
      <c r="S27" s="5" t="s">
        <v>443</v>
      </c>
      <c r="T27" s="5" t="s">
        <v>443</v>
      </c>
      <c r="U27" s="5" t="s">
        <v>443</v>
      </c>
      <c r="V27" s="46">
        <f t="shared" si="16"/>
        <v>0</v>
      </c>
      <c r="W27" s="73">
        <f t="shared" si="17"/>
        <v>0</v>
      </c>
      <c r="X27" s="47">
        <v>0</v>
      </c>
      <c r="Y27" s="48">
        <f t="shared" si="3"/>
        <v>0</v>
      </c>
    </row>
    <row r="28" spans="1:25" ht="15" customHeight="1" thickBot="1" x14ac:dyDescent="0.3">
      <c r="A28" s="35" t="s">
        <v>129</v>
      </c>
      <c r="B28" s="672" t="s">
        <v>373</v>
      </c>
      <c r="C28" s="409" t="s">
        <v>97</v>
      </c>
      <c r="D28" s="5">
        <v>12</v>
      </c>
      <c r="E28" s="5">
        <v>12</v>
      </c>
      <c r="F28" s="5">
        <v>11</v>
      </c>
      <c r="G28" s="46">
        <f t="shared" si="21"/>
        <v>11.666666666666666</v>
      </c>
      <c r="H28" s="72">
        <f t="shared" si="12"/>
        <v>1073.3333333333333</v>
      </c>
      <c r="I28" s="5">
        <v>12</v>
      </c>
      <c r="J28" s="5">
        <v>12</v>
      </c>
      <c r="K28" s="5">
        <v>12</v>
      </c>
      <c r="L28" s="46">
        <f t="shared" si="22"/>
        <v>12</v>
      </c>
      <c r="M28" s="72">
        <f t="shared" si="14"/>
        <v>1104</v>
      </c>
      <c r="N28" s="5">
        <v>11</v>
      </c>
      <c r="O28" s="55">
        <v>11</v>
      </c>
      <c r="P28" s="55">
        <v>11</v>
      </c>
      <c r="Q28" s="46">
        <f t="shared" si="15"/>
        <v>11</v>
      </c>
      <c r="R28" s="72">
        <f t="shared" si="1"/>
        <v>1001</v>
      </c>
      <c r="S28" s="5">
        <v>11</v>
      </c>
      <c r="T28" s="55">
        <v>11</v>
      </c>
      <c r="U28" s="56">
        <v>11</v>
      </c>
      <c r="V28" s="46">
        <f t="shared" si="16"/>
        <v>11</v>
      </c>
      <c r="W28" s="74">
        <f t="shared" si="17"/>
        <v>1001</v>
      </c>
      <c r="X28" s="47">
        <f>SUM(D28+E28+F28+I28+J28+K28+N28+O28+P28+S28+T28+U28)/12</f>
        <v>11.416666666666666</v>
      </c>
      <c r="Y28" s="48">
        <f t="shared" si="3"/>
        <v>4178.5</v>
      </c>
    </row>
    <row r="29" spans="1:25" ht="15" customHeight="1" thickBot="1" x14ac:dyDescent="0.3">
      <c r="A29" s="37" t="s">
        <v>133</v>
      </c>
      <c r="B29" s="24"/>
      <c r="C29" s="24"/>
      <c r="D29" s="57">
        <f>SUM(D21:D28)</f>
        <v>1467.65</v>
      </c>
      <c r="E29" s="57">
        <f>SUM(E21:E28)</f>
        <v>1467.6399999999999</v>
      </c>
      <c r="F29" s="57">
        <f>SUM(F21:F28)</f>
        <v>1533.04</v>
      </c>
      <c r="G29" s="50">
        <f t="shared" si="21"/>
        <v>1489.4433333333334</v>
      </c>
      <c r="H29" s="72">
        <f t="shared" si="12"/>
        <v>137028.78666666668</v>
      </c>
      <c r="I29" s="67">
        <f>SUM(I21:I28)</f>
        <v>1518.19</v>
      </c>
      <c r="J29" s="57">
        <f>SUM(J21:J28)</f>
        <v>1483.8600000000001</v>
      </c>
      <c r="K29" s="57">
        <f>SUM(K21:K28)</f>
        <v>1483.8600000000001</v>
      </c>
      <c r="L29" s="50">
        <f t="shared" si="22"/>
        <v>1495.3033333333333</v>
      </c>
      <c r="M29" s="81">
        <f t="shared" si="14"/>
        <v>137567.90666666668</v>
      </c>
      <c r="N29" s="67">
        <f>SUM(N21:N28)</f>
        <v>1528.1</v>
      </c>
      <c r="O29" s="57">
        <f>SUM(O21:O28)</f>
        <v>1563.73</v>
      </c>
      <c r="P29" s="57">
        <f>SUM(P21:P28)</f>
        <v>1569.32</v>
      </c>
      <c r="Q29" s="50">
        <f t="shared" si="15"/>
        <v>1553.7166666666665</v>
      </c>
      <c r="R29" s="72">
        <f t="shared" si="1"/>
        <v>141388.21666666665</v>
      </c>
      <c r="S29" s="67">
        <f>SUM(S21:S28)</f>
        <v>1591.17</v>
      </c>
      <c r="T29" s="57">
        <f>SUM(T21:T28)</f>
        <v>1570.48</v>
      </c>
      <c r="U29" s="58">
        <f>SUM(U21:U28)</f>
        <v>1579.97</v>
      </c>
      <c r="V29" s="50">
        <f t="shared" si="16"/>
        <v>1580.54</v>
      </c>
      <c r="W29" s="82">
        <f t="shared" si="17"/>
        <v>143829.13999999998</v>
      </c>
      <c r="X29" s="51">
        <f>SUM(X21:X28)</f>
        <v>1529.7508333333333</v>
      </c>
      <c r="Y29" s="48">
        <f t="shared" si="3"/>
        <v>559888.80499999993</v>
      </c>
    </row>
    <row r="30" spans="1:25" ht="15" customHeight="1" thickBot="1" x14ac:dyDescent="0.3">
      <c r="A30" s="38" t="s">
        <v>137</v>
      </c>
      <c r="B30" s="25"/>
      <c r="C30" s="25"/>
      <c r="D30" s="57">
        <f>D19+D29</f>
        <v>5942.9499999999989</v>
      </c>
      <c r="E30" s="57">
        <f>E19+E29</f>
        <v>6020.74</v>
      </c>
      <c r="F30" s="57">
        <f>F19+F29+1</f>
        <v>6197.9000000000005</v>
      </c>
      <c r="G30" s="57">
        <f>G19+G29</f>
        <v>6053.5300000000007</v>
      </c>
      <c r="H30" s="50">
        <f>SUM(H19+H29)</f>
        <v>556924.76</v>
      </c>
      <c r="I30" s="57">
        <f>I19+I29</f>
        <v>6206.8899999999994</v>
      </c>
      <c r="J30" s="57">
        <f>J19+J29</f>
        <v>6171.5600000000013</v>
      </c>
      <c r="K30" s="57">
        <f>K19+K29</f>
        <v>6191.8600000000006</v>
      </c>
      <c r="L30" s="82">
        <f t="shared" si="22"/>
        <v>6190.1033333333335</v>
      </c>
      <c r="M30" s="50">
        <f>SUM(M19+M29)</f>
        <v>569489.50666666671</v>
      </c>
      <c r="N30" s="67">
        <f>N19+N29</f>
        <v>6238.4</v>
      </c>
      <c r="O30" s="57">
        <f>O19+O29</f>
        <v>6288.2300000000014</v>
      </c>
      <c r="P30" s="57">
        <f>P19+P29</f>
        <v>6285.7199999999993</v>
      </c>
      <c r="Q30" s="71">
        <f t="shared" si="15"/>
        <v>6270.7833333333328</v>
      </c>
      <c r="R30" s="72">
        <f t="shared" si="1"/>
        <v>570641.28333333333</v>
      </c>
      <c r="S30" s="67">
        <f>S19+S29</f>
        <v>5867.67</v>
      </c>
      <c r="T30" s="57">
        <f>T19+T29</f>
        <v>5719.8799999999992</v>
      </c>
      <c r="U30" s="58">
        <f>U19+U29</f>
        <v>5788.27</v>
      </c>
      <c r="V30" s="71">
        <f t="shared" si="16"/>
        <v>5791.94</v>
      </c>
      <c r="W30" s="50">
        <f>SUM(W19+W29)</f>
        <v>527066.54</v>
      </c>
      <c r="X30" s="57">
        <f>X19+X29</f>
        <v>6076.5891666666676</v>
      </c>
      <c r="Y30" s="48">
        <f t="shared" si="3"/>
        <v>2224031.6350000002</v>
      </c>
    </row>
    <row r="31" spans="1:25" ht="15" customHeight="1" x14ac:dyDescent="0.25">
      <c r="A31" s="792" t="s">
        <v>804</v>
      </c>
      <c r="B31" s="11"/>
      <c r="C31" s="11"/>
      <c r="D31" s="77"/>
      <c r="E31" s="77"/>
      <c r="F31" s="77"/>
      <c r="G31" s="77"/>
      <c r="H31" s="75"/>
      <c r="I31" s="77"/>
      <c r="J31" s="77"/>
      <c r="K31" s="77"/>
      <c r="L31" s="86"/>
      <c r="M31" s="75"/>
      <c r="N31" s="77"/>
      <c r="O31" s="77"/>
      <c r="P31" s="77"/>
      <c r="Q31" s="66"/>
      <c r="R31" s="75"/>
      <c r="S31" s="77"/>
      <c r="T31" s="77"/>
      <c r="U31" s="77"/>
      <c r="V31" s="66"/>
      <c r="W31" s="75"/>
      <c r="X31" s="77"/>
      <c r="Y31" s="77"/>
    </row>
    <row r="32" spans="1:25" ht="19.899999999999999" customHeight="1" x14ac:dyDescent="0.2"/>
    <row r="33" spans="1:25" ht="31.5" customHeight="1" thickBot="1" x14ac:dyDescent="0.25">
      <c r="A33" s="30" t="s">
        <v>136</v>
      </c>
      <c r="B33" s="6"/>
      <c r="C33" s="6"/>
      <c r="D33" s="706"/>
      <c r="E33" s="706"/>
      <c r="F33" s="706"/>
      <c r="G33" s="8"/>
      <c r="H33" s="707"/>
      <c r="I33" s="8"/>
      <c r="J33" s="8"/>
      <c r="K33" s="8"/>
      <c r="L33" s="8"/>
      <c r="M33" s="8"/>
      <c r="N33" s="8"/>
      <c r="O33" s="8"/>
      <c r="P33" s="8"/>
      <c r="Q33" s="8"/>
      <c r="R33" s="8"/>
      <c r="S33" s="8"/>
      <c r="T33" s="8"/>
      <c r="U33" s="8"/>
      <c r="V33" s="8"/>
      <c r="W33" s="8"/>
      <c r="X33" s="8"/>
      <c r="Y33" s="8"/>
    </row>
    <row r="34" spans="1:25" ht="16.5" thickBot="1" x14ac:dyDescent="0.3">
      <c r="A34" s="723" t="s">
        <v>762</v>
      </c>
      <c r="B34" s="927" t="s">
        <v>134</v>
      </c>
      <c r="C34" s="928"/>
      <c r="D34" s="928"/>
      <c r="E34" s="928"/>
      <c r="F34" s="928"/>
      <c r="G34" s="928"/>
      <c r="H34" s="928"/>
      <c r="I34" s="928"/>
      <c r="J34" s="928"/>
      <c r="K34" s="928"/>
      <c r="L34" s="928"/>
      <c r="M34" s="928"/>
      <c r="N34" s="928"/>
      <c r="O34" s="928"/>
      <c r="P34" s="928"/>
      <c r="Q34" s="928"/>
      <c r="R34" s="928"/>
      <c r="S34" s="928"/>
      <c r="T34" s="928"/>
      <c r="U34" s="928"/>
      <c r="V34" s="26"/>
      <c r="W34" s="26"/>
      <c r="X34" s="65"/>
      <c r="Y34" s="8"/>
    </row>
    <row r="35" spans="1:25" ht="15" x14ac:dyDescent="0.25">
      <c r="A35" s="39"/>
      <c r="B35" s="27" t="s">
        <v>455</v>
      </c>
      <c r="C35" s="925" t="s">
        <v>456</v>
      </c>
      <c r="D35" s="708"/>
      <c r="E35" s="41"/>
      <c r="F35" s="41"/>
      <c r="G35" s="929" t="s">
        <v>228</v>
      </c>
      <c r="H35" s="931" t="s">
        <v>233</v>
      </c>
      <c r="I35" s="41"/>
      <c r="J35" s="41"/>
      <c r="K35" s="41"/>
      <c r="L35" s="929" t="s">
        <v>228</v>
      </c>
      <c r="M35" s="931" t="s">
        <v>233</v>
      </c>
      <c r="N35" s="41"/>
      <c r="O35" s="41"/>
      <c r="P35" s="41"/>
      <c r="Q35" s="929" t="s">
        <v>228</v>
      </c>
      <c r="R35" s="921" t="s">
        <v>233</v>
      </c>
      <c r="S35" s="41"/>
      <c r="T35" s="41"/>
      <c r="U35" s="42"/>
      <c r="V35" s="929" t="s">
        <v>228</v>
      </c>
      <c r="W35" s="921" t="s">
        <v>233</v>
      </c>
      <c r="X35" s="923" t="s">
        <v>135</v>
      </c>
      <c r="Y35" s="925" t="s">
        <v>136</v>
      </c>
    </row>
    <row r="36" spans="1:25" ht="16.5" customHeight="1" thickBot="1" x14ac:dyDescent="0.3">
      <c r="A36" s="32" t="s">
        <v>55</v>
      </c>
      <c r="B36" s="28" t="s">
        <v>457</v>
      </c>
      <c r="C36" s="926"/>
      <c r="D36" s="43">
        <v>43282</v>
      </c>
      <c r="E36" s="43">
        <v>43313</v>
      </c>
      <c r="F36" s="43">
        <v>43344</v>
      </c>
      <c r="G36" s="930"/>
      <c r="H36" s="932"/>
      <c r="I36" s="44">
        <v>43374</v>
      </c>
      <c r="J36" s="44">
        <v>43405</v>
      </c>
      <c r="K36" s="44">
        <v>43435</v>
      </c>
      <c r="L36" s="930"/>
      <c r="M36" s="932"/>
      <c r="N36" s="44">
        <v>43466</v>
      </c>
      <c r="O36" s="44">
        <v>43497</v>
      </c>
      <c r="P36" s="44">
        <v>43525</v>
      </c>
      <c r="Q36" s="930"/>
      <c r="R36" s="922"/>
      <c r="S36" s="44">
        <v>43556</v>
      </c>
      <c r="T36" s="44">
        <v>43586</v>
      </c>
      <c r="U36" s="44">
        <v>43617</v>
      </c>
      <c r="V36" s="930"/>
      <c r="W36" s="922"/>
      <c r="X36" s="924"/>
      <c r="Y36" s="926"/>
    </row>
    <row r="37" spans="1:25" ht="15" customHeight="1" thickBot="1" x14ac:dyDescent="0.3">
      <c r="A37" s="33" t="s">
        <v>243</v>
      </c>
      <c r="B37" s="29">
        <v>863</v>
      </c>
      <c r="C37" s="29">
        <v>829</v>
      </c>
      <c r="D37" s="83">
        <v>879.6</v>
      </c>
      <c r="E37" s="83">
        <v>848.6</v>
      </c>
      <c r="F37" s="79">
        <v>851.9</v>
      </c>
      <c r="G37" s="46">
        <f t="shared" ref="G37:G44" si="23">SUM(D37:F37)/3</f>
        <v>860.0333333333333</v>
      </c>
      <c r="H37" s="72">
        <f>G37*92</f>
        <v>79123.066666666666</v>
      </c>
      <c r="I37" s="79">
        <v>860.3</v>
      </c>
      <c r="J37" s="79">
        <v>840.1</v>
      </c>
      <c r="K37" s="79">
        <v>836.1</v>
      </c>
      <c r="L37" s="46">
        <f>SUM(I37:K37)/3</f>
        <v>845.5</v>
      </c>
      <c r="M37" s="72">
        <f>L37*92</f>
        <v>77786</v>
      </c>
      <c r="N37" s="79">
        <v>853.6</v>
      </c>
      <c r="O37" s="60">
        <v>850.01</v>
      </c>
      <c r="P37" s="79">
        <v>842.7</v>
      </c>
      <c r="Q37" s="46">
        <f>SUM(N37:P37)/3</f>
        <v>848.7700000000001</v>
      </c>
      <c r="R37" s="72">
        <f>Q37*90</f>
        <v>76389.3</v>
      </c>
      <c r="S37" s="79">
        <v>833.6</v>
      </c>
      <c r="T37" s="60">
        <v>861.4</v>
      </c>
      <c r="U37" s="85">
        <v>823.4</v>
      </c>
      <c r="V37" s="46">
        <f>SUM(S37:U37)/3</f>
        <v>839.4666666666667</v>
      </c>
      <c r="W37" s="73">
        <f>V37*91</f>
        <v>76391.466666666674</v>
      </c>
      <c r="X37" s="47">
        <f>SUM(D37+E37+F37+I37+J37+K37+N37+O37+P37+S37+T37+U37)/12</f>
        <v>848.4425</v>
      </c>
      <c r="Y37" s="48">
        <f>X37*365</f>
        <v>309681.51250000001</v>
      </c>
    </row>
    <row r="38" spans="1:25" ht="24" customHeight="1" thickBot="1" x14ac:dyDescent="0.3">
      <c r="A38" s="34" t="s">
        <v>121</v>
      </c>
      <c r="B38" s="29">
        <v>128</v>
      </c>
      <c r="C38" s="29">
        <v>126</v>
      </c>
      <c r="D38" s="84">
        <v>127.8</v>
      </c>
      <c r="E38" s="84">
        <v>132.30000000000001</v>
      </c>
      <c r="F38" s="80">
        <v>135.9</v>
      </c>
      <c r="G38" s="46">
        <f t="shared" si="23"/>
        <v>132</v>
      </c>
      <c r="H38" s="72">
        <f>G38*92</f>
        <v>12144</v>
      </c>
      <c r="I38" s="80">
        <v>136</v>
      </c>
      <c r="J38" s="80">
        <v>138.4</v>
      </c>
      <c r="K38" s="80">
        <v>130.19999999999999</v>
      </c>
      <c r="L38" s="46">
        <f>SUM(I38:K38)/3</f>
        <v>134.86666666666665</v>
      </c>
      <c r="M38" s="72">
        <f>L38*92</f>
        <v>12407.733333333332</v>
      </c>
      <c r="N38" s="80">
        <v>135.80000000000001</v>
      </c>
      <c r="O38" s="61">
        <v>135</v>
      </c>
      <c r="P38" s="80">
        <v>131.80000000000001</v>
      </c>
      <c r="Q38" s="46">
        <f>SUM(N38:P38)/3</f>
        <v>134.20000000000002</v>
      </c>
      <c r="R38" s="72">
        <f>Q38*90</f>
        <v>12078.000000000002</v>
      </c>
      <c r="S38" s="80">
        <v>122.5</v>
      </c>
      <c r="T38" s="61">
        <v>123.4</v>
      </c>
      <c r="U38" s="63">
        <v>128.5</v>
      </c>
      <c r="V38" s="46">
        <f>SUM(S38:U38)/3</f>
        <v>124.8</v>
      </c>
      <c r="W38" s="73">
        <f>V38*91</f>
        <v>11356.8</v>
      </c>
      <c r="X38" s="47">
        <f t="shared" ref="X38:X45" si="24">SUM(D38+E38+F38+I38+J38+K38+N38+O38+P38+S38+T38+U38)/12</f>
        <v>131.46666666666667</v>
      </c>
      <c r="Y38" s="48">
        <f t="shared" ref="Y38:Y45" si="25">X38*365</f>
        <v>47985.333333333336</v>
      </c>
    </row>
    <row r="39" spans="1:25" ht="15" customHeight="1" thickBot="1" x14ac:dyDescent="0.3">
      <c r="A39" s="35" t="s">
        <v>267</v>
      </c>
      <c r="B39" s="29">
        <v>259</v>
      </c>
      <c r="C39" s="29">
        <v>248</v>
      </c>
      <c r="D39" s="4">
        <v>256.39999999999998</v>
      </c>
      <c r="E39" s="4">
        <v>269.60000000000002</v>
      </c>
      <c r="F39" s="3">
        <v>260.3</v>
      </c>
      <c r="G39" s="46">
        <f t="shared" si="23"/>
        <v>262.09999999999997</v>
      </c>
      <c r="H39" s="72">
        <f>G39*92</f>
        <v>24113.199999999997</v>
      </c>
      <c r="I39" s="3">
        <v>240.7</v>
      </c>
      <c r="J39" s="3">
        <v>243.1</v>
      </c>
      <c r="K39" s="3">
        <v>244.6</v>
      </c>
      <c r="L39" s="46">
        <f>SUM(I39:K39)/3</f>
        <v>242.79999999999998</v>
      </c>
      <c r="M39" s="72">
        <f>L39*92</f>
        <v>22337.599999999999</v>
      </c>
      <c r="N39" s="3">
        <v>262.39999999999998</v>
      </c>
      <c r="O39" s="62">
        <v>265.89999999999998</v>
      </c>
      <c r="P39" s="3">
        <v>275.39999999999998</v>
      </c>
      <c r="Q39" s="46">
        <f>SUM(N39:P39)/3</f>
        <v>267.89999999999998</v>
      </c>
      <c r="R39" s="72">
        <f>Q39*90</f>
        <v>24110.999999999996</v>
      </c>
      <c r="S39" s="3">
        <v>274.60000000000002</v>
      </c>
      <c r="T39" s="62">
        <v>267.2</v>
      </c>
      <c r="U39" s="64">
        <v>271.89999999999998</v>
      </c>
      <c r="V39" s="46">
        <f>SUM(S39:U39)/3</f>
        <v>271.23333333333329</v>
      </c>
      <c r="W39" s="73">
        <f>V39*91</f>
        <v>24682.23333333333</v>
      </c>
      <c r="X39" s="47">
        <f t="shared" si="24"/>
        <v>261.00833333333333</v>
      </c>
      <c r="Y39" s="48">
        <f t="shared" si="25"/>
        <v>95268.041666666657</v>
      </c>
    </row>
    <row r="40" spans="1:25" ht="15" customHeight="1" thickBot="1" x14ac:dyDescent="0.3">
      <c r="A40" s="35" t="s">
        <v>374</v>
      </c>
      <c r="B40" s="29">
        <v>1472</v>
      </c>
      <c r="C40" s="29">
        <v>1408</v>
      </c>
      <c r="D40" s="4">
        <v>1262.9000000000001</v>
      </c>
      <c r="E40" s="4">
        <v>1291.9000000000001</v>
      </c>
      <c r="F40" s="3">
        <v>1284.9000000000001</v>
      </c>
      <c r="G40" s="46">
        <f t="shared" si="23"/>
        <v>1279.9000000000001</v>
      </c>
      <c r="H40" s="72">
        <f>G40*92</f>
        <v>117750.8</v>
      </c>
      <c r="I40" s="3">
        <v>1273.9000000000001</v>
      </c>
      <c r="J40" s="3">
        <v>1309.7</v>
      </c>
      <c r="K40" s="3">
        <v>1358.1</v>
      </c>
      <c r="L40" s="46">
        <f>SUM(I40:K40)/3</f>
        <v>1313.9</v>
      </c>
      <c r="M40" s="72">
        <f>L40*92</f>
        <v>120878.8</v>
      </c>
      <c r="N40" s="3">
        <v>1357.4</v>
      </c>
      <c r="O40" s="62">
        <v>1362.9</v>
      </c>
      <c r="P40" s="3">
        <v>1336.1</v>
      </c>
      <c r="Q40" s="46">
        <f>SUM(N40:P40)/3</f>
        <v>1352.1333333333334</v>
      </c>
      <c r="R40" s="72">
        <f>Q40*90</f>
        <v>121692.00000000001</v>
      </c>
      <c r="S40" s="3">
        <v>1335.4</v>
      </c>
      <c r="T40" s="62">
        <v>1311.4</v>
      </c>
      <c r="U40" s="64">
        <v>1342.4</v>
      </c>
      <c r="V40" s="46">
        <f>SUM(S40:U40)/3</f>
        <v>1329.7333333333333</v>
      </c>
      <c r="W40" s="73">
        <f>V40*91</f>
        <v>121005.73333333334</v>
      </c>
      <c r="X40" s="47">
        <f t="shared" si="24"/>
        <v>1318.9166666666665</v>
      </c>
      <c r="Y40" s="48">
        <f t="shared" si="25"/>
        <v>481404.58333333326</v>
      </c>
    </row>
    <row r="41" spans="1:25" ht="15" customHeight="1" thickBot="1" x14ac:dyDescent="0.3">
      <c r="A41" s="36" t="s">
        <v>231</v>
      </c>
      <c r="B41" s="29">
        <v>404</v>
      </c>
      <c r="C41" s="29">
        <v>395</v>
      </c>
      <c r="D41" s="4">
        <v>325</v>
      </c>
      <c r="E41" s="4">
        <v>342.3</v>
      </c>
      <c r="F41" s="3">
        <v>354.8</v>
      </c>
      <c r="G41" s="46">
        <f t="shared" si="23"/>
        <v>340.7</v>
      </c>
      <c r="H41" s="72">
        <f t="shared" ref="H41:H50" si="26">G41*92</f>
        <v>31344.399999999998</v>
      </c>
      <c r="I41" s="3">
        <v>340.9</v>
      </c>
      <c r="J41" s="3">
        <v>336.2</v>
      </c>
      <c r="K41" s="3">
        <v>340.8</v>
      </c>
      <c r="L41" s="46">
        <f t="shared" ref="L41:L51" si="27">SUM(I41:K41)/3</f>
        <v>339.29999999999995</v>
      </c>
      <c r="M41" s="72">
        <f t="shared" ref="M41:M51" si="28">L41*92</f>
        <v>31215.599999999995</v>
      </c>
      <c r="N41" s="3">
        <v>321.2</v>
      </c>
      <c r="O41" s="62">
        <v>303.7</v>
      </c>
      <c r="P41" s="3">
        <v>297.5</v>
      </c>
      <c r="Q41" s="46">
        <f t="shared" ref="Q41:Q51" si="29">SUM(N41:P41)/3</f>
        <v>307.46666666666664</v>
      </c>
      <c r="R41" s="72">
        <f t="shared" ref="R41:R51" si="30">Q41*90</f>
        <v>27671.999999999996</v>
      </c>
      <c r="S41" s="3">
        <v>269.60000000000002</v>
      </c>
      <c r="T41" s="62">
        <v>268.60000000000002</v>
      </c>
      <c r="U41" s="64">
        <v>282.8</v>
      </c>
      <c r="V41" s="46">
        <f t="shared" ref="V41:V51" si="31">SUM(S41:U41)/3</f>
        <v>273.66666666666669</v>
      </c>
      <c r="W41" s="73">
        <f t="shared" ref="W41:W51" si="32">V41*91</f>
        <v>24903.666666666668</v>
      </c>
      <c r="X41" s="47">
        <f t="shared" si="24"/>
        <v>315.2833333333333</v>
      </c>
      <c r="Y41" s="48">
        <f t="shared" si="25"/>
        <v>115078.41666666666</v>
      </c>
    </row>
    <row r="42" spans="1:25" ht="15" customHeight="1" thickBot="1" x14ac:dyDescent="0.3">
      <c r="A42" s="35" t="s">
        <v>15</v>
      </c>
      <c r="B42" s="29">
        <v>58</v>
      </c>
      <c r="C42" s="29">
        <v>52</v>
      </c>
      <c r="D42" s="4">
        <v>51.6</v>
      </c>
      <c r="E42" s="4">
        <v>57</v>
      </c>
      <c r="F42" s="3">
        <v>50.7</v>
      </c>
      <c r="G42" s="46">
        <f t="shared" si="23"/>
        <v>53.1</v>
      </c>
      <c r="H42" s="72">
        <f t="shared" si="26"/>
        <v>4885.2</v>
      </c>
      <c r="I42" s="3">
        <v>50.4</v>
      </c>
      <c r="J42" s="3">
        <v>45.9</v>
      </c>
      <c r="K42" s="3">
        <v>52.5</v>
      </c>
      <c r="L42" s="46">
        <f t="shared" si="27"/>
        <v>49.6</v>
      </c>
      <c r="M42" s="72">
        <f t="shared" si="28"/>
        <v>4563.2</v>
      </c>
      <c r="N42" s="3">
        <v>60.1</v>
      </c>
      <c r="O42" s="62">
        <v>56.2</v>
      </c>
      <c r="P42" s="3">
        <v>56.8</v>
      </c>
      <c r="Q42" s="46">
        <f t="shared" si="29"/>
        <v>57.70000000000001</v>
      </c>
      <c r="R42" s="72">
        <f t="shared" si="30"/>
        <v>5193.0000000000009</v>
      </c>
      <c r="S42" s="3">
        <v>54.9</v>
      </c>
      <c r="T42" s="62">
        <v>55.1</v>
      </c>
      <c r="U42" s="64">
        <v>55.4</v>
      </c>
      <c r="V42" s="46">
        <f t="shared" si="31"/>
        <v>55.133333333333333</v>
      </c>
      <c r="W42" s="73">
        <f t="shared" si="32"/>
        <v>5017.1333333333332</v>
      </c>
      <c r="X42" s="47">
        <f t="shared" si="24"/>
        <v>53.883333333333333</v>
      </c>
      <c r="Y42" s="48">
        <f t="shared" si="25"/>
        <v>19667.416666666668</v>
      </c>
    </row>
    <row r="43" spans="1:25" ht="15" customHeight="1" thickBot="1" x14ac:dyDescent="0.3">
      <c r="A43" s="35" t="s">
        <v>16</v>
      </c>
      <c r="B43" s="29">
        <v>232</v>
      </c>
      <c r="C43" s="29">
        <v>226</v>
      </c>
      <c r="D43" s="4">
        <v>218.8</v>
      </c>
      <c r="E43" s="4">
        <v>226</v>
      </c>
      <c r="F43" s="3">
        <v>216.5</v>
      </c>
      <c r="G43" s="46">
        <f t="shared" si="23"/>
        <v>220.43333333333331</v>
      </c>
      <c r="H43" s="72">
        <f t="shared" si="26"/>
        <v>20279.866666666665</v>
      </c>
      <c r="I43" s="3">
        <v>218.3</v>
      </c>
      <c r="J43" s="3">
        <v>215</v>
      </c>
      <c r="K43" s="3">
        <v>222.7</v>
      </c>
      <c r="L43" s="46">
        <f t="shared" si="27"/>
        <v>218.66666666666666</v>
      </c>
      <c r="M43" s="72">
        <f t="shared" si="28"/>
        <v>20117.333333333332</v>
      </c>
      <c r="N43" s="3">
        <v>227.8</v>
      </c>
      <c r="O43" s="62">
        <v>219.4</v>
      </c>
      <c r="P43" s="3">
        <v>219.4</v>
      </c>
      <c r="Q43" s="46">
        <f t="shared" si="29"/>
        <v>222.20000000000002</v>
      </c>
      <c r="R43" s="72">
        <f t="shared" si="30"/>
        <v>19998</v>
      </c>
      <c r="S43" s="3">
        <v>224.8</v>
      </c>
      <c r="T43" s="62">
        <v>227.6</v>
      </c>
      <c r="U43" s="64">
        <v>232.4</v>
      </c>
      <c r="V43" s="46">
        <f t="shared" si="31"/>
        <v>228.26666666666665</v>
      </c>
      <c r="W43" s="73">
        <f t="shared" si="32"/>
        <v>20772.266666666666</v>
      </c>
      <c r="X43" s="47">
        <f t="shared" si="24"/>
        <v>222.39166666666668</v>
      </c>
      <c r="Y43" s="48">
        <f t="shared" si="25"/>
        <v>81172.958333333343</v>
      </c>
    </row>
    <row r="44" spans="1:25" ht="15" customHeight="1" thickBot="1" x14ac:dyDescent="0.3">
      <c r="A44" s="35" t="s">
        <v>122</v>
      </c>
      <c r="B44" s="29">
        <v>102</v>
      </c>
      <c r="C44" s="29">
        <v>98</v>
      </c>
      <c r="D44" s="4">
        <v>81.5</v>
      </c>
      <c r="E44" s="4">
        <v>79.3</v>
      </c>
      <c r="F44" s="3">
        <v>80.5</v>
      </c>
      <c r="G44" s="46">
        <f t="shared" si="23"/>
        <v>80.433333333333337</v>
      </c>
      <c r="H44" s="72">
        <f t="shared" si="26"/>
        <v>7399.8666666666668</v>
      </c>
      <c r="I44" s="3">
        <v>77.3</v>
      </c>
      <c r="J44" s="3">
        <v>87.5</v>
      </c>
      <c r="K44" s="3">
        <v>85.6</v>
      </c>
      <c r="L44" s="46">
        <f t="shared" si="27"/>
        <v>83.466666666666669</v>
      </c>
      <c r="M44" s="72">
        <f t="shared" si="28"/>
        <v>7678.9333333333334</v>
      </c>
      <c r="N44" s="3">
        <v>86.9</v>
      </c>
      <c r="O44" s="62">
        <v>84.8</v>
      </c>
      <c r="P44" s="3">
        <v>86.3</v>
      </c>
      <c r="Q44" s="46">
        <f t="shared" si="29"/>
        <v>86</v>
      </c>
      <c r="R44" s="72">
        <f t="shared" si="30"/>
        <v>7740</v>
      </c>
      <c r="S44" s="3">
        <v>72.3</v>
      </c>
      <c r="T44" s="62">
        <v>77.400000000000006</v>
      </c>
      <c r="U44" s="64">
        <v>81.599999999999994</v>
      </c>
      <c r="V44" s="46">
        <f t="shared" si="31"/>
        <v>77.099999999999994</v>
      </c>
      <c r="W44" s="73">
        <f t="shared" si="32"/>
        <v>7016.0999999999995</v>
      </c>
      <c r="X44" s="47">
        <f t="shared" si="24"/>
        <v>81.749999999999986</v>
      </c>
      <c r="Y44" s="48">
        <f t="shared" si="25"/>
        <v>29838.749999999996</v>
      </c>
    </row>
    <row r="45" spans="1:25" ht="15" customHeight="1" thickBot="1" x14ac:dyDescent="0.3">
      <c r="A45" s="36" t="s">
        <v>232</v>
      </c>
      <c r="B45" s="29">
        <f>338+176</f>
        <v>514</v>
      </c>
      <c r="C45" s="29">
        <f>327+176</f>
        <v>503</v>
      </c>
      <c r="D45" s="670">
        <v>0</v>
      </c>
      <c r="E45" s="670">
        <v>0</v>
      </c>
      <c r="F45" s="3">
        <v>0</v>
      </c>
      <c r="G45" s="46">
        <f t="shared" ref="G45" si="33">SUM(D45:F45)/3</f>
        <v>0</v>
      </c>
      <c r="H45" s="72">
        <f t="shared" si="26"/>
        <v>0</v>
      </c>
      <c r="I45" s="3">
        <v>0</v>
      </c>
      <c r="J45" s="3">
        <v>0</v>
      </c>
      <c r="K45" s="3">
        <v>0</v>
      </c>
      <c r="L45" s="46">
        <f t="shared" si="27"/>
        <v>0</v>
      </c>
      <c r="M45" s="72">
        <f t="shared" si="28"/>
        <v>0</v>
      </c>
      <c r="N45" s="3">
        <v>0</v>
      </c>
      <c r="O45" s="62">
        <v>0</v>
      </c>
      <c r="P45" s="3">
        <v>0</v>
      </c>
      <c r="Q45" s="46">
        <f t="shared" si="29"/>
        <v>0</v>
      </c>
      <c r="R45" s="72">
        <f t="shared" si="30"/>
        <v>0</v>
      </c>
      <c r="S45" s="3">
        <v>0</v>
      </c>
      <c r="T45" s="62">
        <v>0</v>
      </c>
      <c r="U45" s="64">
        <v>0</v>
      </c>
      <c r="V45" s="46">
        <f t="shared" si="31"/>
        <v>0</v>
      </c>
      <c r="W45" s="73">
        <f t="shared" si="32"/>
        <v>0</v>
      </c>
      <c r="X45" s="47">
        <f t="shared" si="24"/>
        <v>0</v>
      </c>
      <c r="Y45" s="48">
        <f t="shared" si="25"/>
        <v>0</v>
      </c>
    </row>
    <row r="46" spans="1:25" ht="15" customHeight="1" thickBot="1" x14ac:dyDescent="0.3">
      <c r="A46" s="35" t="s">
        <v>130</v>
      </c>
      <c r="B46" s="29">
        <v>128</v>
      </c>
      <c r="C46" s="29">
        <v>128</v>
      </c>
      <c r="D46" s="4">
        <v>100.6</v>
      </c>
      <c r="E46" s="4">
        <v>96.2</v>
      </c>
      <c r="F46" s="4">
        <v>98</v>
      </c>
      <c r="G46" s="46">
        <f t="shared" ref="G46" si="34">SUM(D46:F46)/3</f>
        <v>98.266666666666666</v>
      </c>
      <c r="H46" s="72">
        <f t="shared" si="26"/>
        <v>9040.5333333333328</v>
      </c>
      <c r="I46" s="3">
        <v>104.6</v>
      </c>
      <c r="J46" s="4">
        <v>101.8</v>
      </c>
      <c r="K46" s="4">
        <v>95.9</v>
      </c>
      <c r="L46" s="46">
        <f t="shared" si="27"/>
        <v>100.76666666666665</v>
      </c>
      <c r="M46" s="72">
        <f t="shared" si="28"/>
        <v>9270.5333333333328</v>
      </c>
      <c r="N46" s="4">
        <v>99.5</v>
      </c>
      <c r="O46" s="4">
        <v>101.2</v>
      </c>
      <c r="P46" s="4">
        <v>110</v>
      </c>
      <c r="Q46" s="46">
        <f t="shared" si="29"/>
        <v>103.56666666666666</v>
      </c>
      <c r="R46" s="72">
        <f t="shared" si="30"/>
        <v>9321</v>
      </c>
      <c r="S46" s="4">
        <v>110</v>
      </c>
      <c r="T46" s="4">
        <v>106.5</v>
      </c>
      <c r="U46" s="4">
        <v>102.2</v>
      </c>
      <c r="V46" s="46">
        <f t="shared" si="31"/>
        <v>106.23333333333333</v>
      </c>
      <c r="W46" s="73">
        <f t="shared" si="32"/>
        <v>9667.2333333333336</v>
      </c>
      <c r="X46" s="47">
        <f>SUM(D46+E46+F46+I46+J46+K46+N46+O46+P46+S46+T46+U46)/12</f>
        <v>102.20833333333336</v>
      </c>
      <c r="Y46" s="48">
        <f>X46*365</f>
        <v>37306.041666666679</v>
      </c>
    </row>
    <row r="47" spans="1:25" ht="15" customHeight="1" thickBot="1" x14ac:dyDescent="0.3">
      <c r="A47" s="34" t="s">
        <v>19</v>
      </c>
      <c r="B47" s="29">
        <v>551</v>
      </c>
      <c r="C47" s="29">
        <v>535</v>
      </c>
      <c r="D47" s="84">
        <v>419.9</v>
      </c>
      <c r="E47" s="84">
        <v>427.2</v>
      </c>
      <c r="F47" s="80">
        <v>430.4</v>
      </c>
      <c r="G47" s="46">
        <f>SUM(D47:F47)/3</f>
        <v>425.83333333333331</v>
      </c>
      <c r="H47" s="72">
        <f t="shared" si="26"/>
        <v>39176.666666666664</v>
      </c>
      <c r="I47" s="80">
        <v>432.8</v>
      </c>
      <c r="J47" s="3">
        <v>434.9</v>
      </c>
      <c r="K47" s="80">
        <v>437.1</v>
      </c>
      <c r="L47" s="46">
        <f t="shared" si="27"/>
        <v>434.93333333333339</v>
      </c>
      <c r="M47" s="73">
        <f t="shared" si="28"/>
        <v>40013.866666666669</v>
      </c>
      <c r="N47" s="3">
        <v>447.4</v>
      </c>
      <c r="O47" s="61">
        <v>486.6</v>
      </c>
      <c r="P47" s="3">
        <v>492.5</v>
      </c>
      <c r="Q47" s="46">
        <f t="shared" si="29"/>
        <v>475.5</v>
      </c>
      <c r="R47" s="72">
        <f t="shared" si="30"/>
        <v>42795</v>
      </c>
      <c r="S47" s="3">
        <v>501.4</v>
      </c>
      <c r="T47" s="61">
        <v>477.7</v>
      </c>
      <c r="U47" s="63">
        <v>471.4</v>
      </c>
      <c r="V47" s="46">
        <f t="shared" si="31"/>
        <v>483.5</v>
      </c>
      <c r="W47" s="73">
        <f t="shared" si="32"/>
        <v>43998.5</v>
      </c>
      <c r="X47" s="47">
        <f>SUM(D47+E47+F47+I47+J47+K47+N47+O47+P47+S47+T47+U47)/12</f>
        <v>454.94166666666661</v>
      </c>
      <c r="Y47" s="48">
        <f>X47*365</f>
        <v>166053.70833333331</v>
      </c>
    </row>
    <row r="48" spans="1:25" ht="15" customHeight="1" thickBot="1" x14ac:dyDescent="0.3">
      <c r="A48" s="36" t="s">
        <v>372</v>
      </c>
      <c r="B48" s="29">
        <f>326+115</f>
        <v>441</v>
      </c>
      <c r="C48" s="29">
        <f>320+110</f>
        <v>430</v>
      </c>
      <c r="D48" s="4">
        <f>320.6+85.7</f>
        <v>406.3</v>
      </c>
      <c r="E48" s="4">
        <f>330.7+85.5</f>
        <v>416.2</v>
      </c>
      <c r="F48" s="3">
        <f>333.9+86.3</f>
        <v>420.2</v>
      </c>
      <c r="G48" s="46">
        <f>SUM(D48:F48)/3</f>
        <v>414.23333333333335</v>
      </c>
      <c r="H48" s="72">
        <f t="shared" si="26"/>
        <v>38109.466666666667</v>
      </c>
      <c r="I48" s="3">
        <f>332.2+92.2</f>
        <v>424.4</v>
      </c>
      <c r="J48" s="3">
        <f>335.6+89.6</f>
        <v>425.20000000000005</v>
      </c>
      <c r="K48" s="3">
        <f>333.7+100</f>
        <v>433.7</v>
      </c>
      <c r="L48" s="46">
        <f t="shared" si="27"/>
        <v>427.76666666666665</v>
      </c>
      <c r="M48" s="72">
        <f t="shared" si="28"/>
        <v>39354.533333333333</v>
      </c>
      <c r="N48" s="3">
        <f>336.7+100.2</f>
        <v>436.9</v>
      </c>
      <c r="O48" s="62">
        <f>327.4+102.1</f>
        <v>429.5</v>
      </c>
      <c r="P48" s="3">
        <f>320.9+100.4</f>
        <v>421.29999999999995</v>
      </c>
      <c r="Q48" s="46">
        <f t="shared" si="29"/>
        <v>429.23333333333329</v>
      </c>
      <c r="R48" s="72">
        <f t="shared" si="30"/>
        <v>38630.999999999993</v>
      </c>
      <c r="S48" s="3">
        <f>314.4+95.3</f>
        <v>409.7</v>
      </c>
      <c r="T48" s="62">
        <f>309.6+99.3</f>
        <v>408.90000000000003</v>
      </c>
      <c r="U48" s="64">
        <f>312.3+107.1</f>
        <v>419.4</v>
      </c>
      <c r="V48" s="46">
        <f t="shared" si="31"/>
        <v>412.66666666666669</v>
      </c>
      <c r="W48" s="73">
        <f t="shared" si="32"/>
        <v>37552.666666666672</v>
      </c>
      <c r="X48" s="47">
        <f>SUM(D48+E48+F48+I48+J48+K48+N48+O48+P48+S48+T48+U48)/12</f>
        <v>420.97499999999991</v>
      </c>
      <c r="Y48" s="48">
        <f>X48*365</f>
        <v>153655.87499999997</v>
      </c>
    </row>
    <row r="49" spans="1:25" ht="15" customHeight="1" thickBot="1" x14ac:dyDescent="0.3">
      <c r="A49" s="35" t="s">
        <v>123</v>
      </c>
      <c r="B49" s="29">
        <v>200</v>
      </c>
      <c r="C49" s="29">
        <v>189</v>
      </c>
      <c r="D49" s="4">
        <v>168.5</v>
      </c>
      <c r="E49" s="4">
        <v>179.2</v>
      </c>
      <c r="F49" s="3">
        <v>181.6</v>
      </c>
      <c r="G49" s="46">
        <f>SUM(D49:F49)/3</f>
        <v>176.43333333333331</v>
      </c>
      <c r="H49" s="72">
        <f t="shared" si="26"/>
        <v>16231.866666666665</v>
      </c>
      <c r="I49" s="3">
        <v>187.2</v>
      </c>
      <c r="J49" s="3">
        <v>184.6</v>
      </c>
      <c r="K49" s="3">
        <v>183.6</v>
      </c>
      <c r="L49" s="46">
        <f t="shared" si="27"/>
        <v>185.13333333333333</v>
      </c>
      <c r="M49" s="72">
        <f t="shared" si="28"/>
        <v>17032.266666666666</v>
      </c>
      <c r="N49" s="3">
        <v>197.2</v>
      </c>
      <c r="O49" s="62">
        <v>203.6</v>
      </c>
      <c r="P49" s="3">
        <v>199.5</v>
      </c>
      <c r="Q49" s="46">
        <f t="shared" si="29"/>
        <v>200.1</v>
      </c>
      <c r="R49" s="72">
        <f t="shared" si="30"/>
        <v>18009</v>
      </c>
      <c r="S49" s="3">
        <v>196.5</v>
      </c>
      <c r="T49" s="62">
        <v>197.4</v>
      </c>
      <c r="U49" s="64">
        <v>196.4</v>
      </c>
      <c r="V49" s="46">
        <f t="shared" si="31"/>
        <v>196.76666666666665</v>
      </c>
      <c r="W49" s="73">
        <f t="shared" si="32"/>
        <v>17905.766666666666</v>
      </c>
      <c r="X49" s="47">
        <f>SUM(D49+E49+F49+I49+J49+K49+N49+O49+P49+S49+T49+U49)/12</f>
        <v>189.60833333333335</v>
      </c>
      <c r="Y49" s="48">
        <f>X49*365</f>
        <v>69207.041666666672</v>
      </c>
    </row>
    <row r="50" spans="1:25" ht="15" customHeight="1" thickBot="1" x14ac:dyDescent="0.3">
      <c r="A50" s="35" t="s">
        <v>124</v>
      </c>
      <c r="B50" s="22"/>
      <c r="C50" s="22"/>
      <c r="D50" s="4">
        <v>0</v>
      </c>
      <c r="E50" s="4" t="s">
        <v>226</v>
      </c>
      <c r="F50" s="4">
        <v>0</v>
      </c>
      <c r="G50" s="49">
        <f>SUM(D50:F50)/3</f>
        <v>0</v>
      </c>
      <c r="H50" s="72">
        <f t="shared" si="26"/>
        <v>0</v>
      </c>
      <c r="I50" s="4">
        <v>0</v>
      </c>
      <c r="J50" s="4">
        <v>0</v>
      </c>
      <c r="K50" s="4">
        <v>0</v>
      </c>
      <c r="L50" s="49">
        <f t="shared" si="27"/>
        <v>0</v>
      </c>
      <c r="M50" s="72">
        <f t="shared" si="28"/>
        <v>0</v>
      </c>
      <c r="N50" s="4">
        <v>0</v>
      </c>
      <c r="O50" s="4">
        <v>0</v>
      </c>
      <c r="P50" s="4">
        <v>0</v>
      </c>
      <c r="Q50" s="49">
        <f t="shared" si="29"/>
        <v>0</v>
      </c>
      <c r="R50" s="72">
        <f t="shared" si="30"/>
        <v>0</v>
      </c>
      <c r="S50" s="3" t="s">
        <v>97</v>
      </c>
      <c r="T50" s="3" t="s">
        <v>97</v>
      </c>
      <c r="U50" s="4" t="s">
        <v>97</v>
      </c>
      <c r="V50" s="49">
        <f t="shared" si="31"/>
        <v>0</v>
      </c>
      <c r="W50" s="74">
        <f t="shared" si="32"/>
        <v>0</v>
      </c>
      <c r="X50" s="47">
        <v>0</v>
      </c>
      <c r="Y50" s="48">
        <f>X50*365</f>
        <v>0</v>
      </c>
    </row>
    <row r="51" spans="1:25" ht="15" customHeight="1" thickBot="1" x14ac:dyDescent="0.3">
      <c r="A51" s="484" t="s">
        <v>131</v>
      </c>
      <c r="B51" s="485"/>
      <c r="C51" s="485"/>
      <c r="D51" s="486">
        <f>SUM(D37:D50)</f>
        <v>4298.8999999999996</v>
      </c>
      <c r="E51" s="486">
        <f>SUM(E37:E50)</f>
        <v>4365.8</v>
      </c>
      <c r="F51" s="486">
        <f>SUM(F37:F50)</f>
        <v>4365.7000000000007</v>
      </c>
      <c r="G51" s="487">
        <f>SUM(D51:F51)/3</f>
        <v>4343.4666666666672</v>
      </c>
      <c r="H51" s="488">
        <f>G51*92</f>
        <v>399598.93333333335</v>
      </c>
      <c r="I51" s="489">
        <f>SUM(I37:I50)</f>
        <v>4346.8</v>
      </c>
      <c r="J51" s="486">
        <f>SUM(J37:J50)</f>
        <v>4362.4000000000005</v>
      </c>
      <c r="K51" s="486">
        <f>SUM(K37:K50)</f>
        <v>4420.9000000000005</v>
      </c>
      <c r="L51" s="487">
        <f t="shared" si="27"/>
        <v>4376.7000000000007</v>
      </c>
      <c r="M51" s="490">
        <f t="shared" si="28"/>
        <v>402656.40000000008</v>
      </c>
      <c r="N51" s="491">
        <f>SUM(N37:N50)</f>
        <v>4486.2</v>
      </c>
      <c r="O51" s="486">
        <f>SUM(O37:O50)</f>
        <v>4498.8099999999995</v>
      </c>
      <c r="P51" s="486">
        <f>SUM(P37:P50)</f>
        <v>4469.3</v>
      </c>
      <c r="Q51" s="487">
        <f t="shared" si="29"/>
        <v>4484.7699999999995</v>
      </c>
      <c r="R51" s="490">
        <f t="shared" si="30"/>
        <v>403629.29999999993</v>
      </c>
      <c r="S51" s="489">
        <f>SUM(S37:S50)</f>
        <v>4405.3000000000011</v>
      </c>
      <c r="T51" s="486">
        <f>SUM(T37:T49)</f>
        <v>4382.5999999999995</v>
      </c>
      <c r="U51" s="492">
        <f>SUM(U37:U50)</f>
        <v>4407.7999999999993</v>
      </c>
      <c r="V51" s="487">
        <f t="shared" si="31"/>
        <v>4398.5666666666666</v>
      </c>
      <c r="W51" s="493">
        <f t="shared" si="32"/>
        <v>400269.56666666665</v>
      </c>
      <c r="X51" s="494">
        <f>SUM(D51+E51+F51+I51+J51+K51+N51+O51+P51+S51+T51+U51)/12</f>
        <v>4400.8758333333344</v>
      </c>
      <c r="Y51" s="494">
        <f>SUM(Y37:Y50)</f>
        <v>1606319.6791666667</v>
      </c>
    </row>
    <row r="52" spans="1:25" ht="15" customHeight="1" thickBot="1" x14ac:dyDescent="0.3">
      <c r="A52" s="31" t="s">
        <v>132</v>
      </c>
      <c r="B52" s="23"/>
      <c r="C52" s="23"/>
      <c r="D52" s="709"/>
      <c r="E52" s="709"/>
      <c r="F52" s="710"/>
      <c r="G52" s="70"/>
      <c r="H52" s="70"/>
      <c r="I52" s="54"/>
      <c r="J52" s="52"/>
      <c r="K52" s="53"/>
      <c r="L52" s="69"/>
      <c r="M52" s="69"/>
      <c r="N52" s="54"/>
      <c r="O52" s="52"/>
      <c r="P52" s="53"/>
      <c r="Q52" s="69"/>
      <c r="R52" s="69"/>
      <c r="S52" s="54"/>
      <c r="T52" s="52"/>
      <c r="U52" s="53"/>
      <c r="V52" s="53"/>
      <c r="W52" s="52"/>
      <c r="X52" s="68"/>
      <c r="Y52" s="51" t="s">
        <v>0</v>
      </c>
    </row>
    <row r="53" spans="1:25" ht="15" customHeight="1" thickBot="1" x14ac:dyDescent="0.3">
      <c r="A53" s="674" t="s">
        <v>125</v>
      </c>
      <c r="B53" s="675">
        <v>534</v>
      </c>
      <c r="C53" s="676" t="s">
        <v>97</v>
      </c>
      <c r="D53" s="677">
        <f>261.06+37.23</f>
        <v>298.29000000000002</v>
      </c>
      <c r="E53" s="677">
        <f>259.94+40.71</f>
        <v>300.64999999999998</v>
      </c>
      <c r="F53" s="677">
        <v>294.33</v>
      </c>
      <c r="G53" s="678">
        <f t="shared" ref="G53:G61" si="35">SUM(D53:F53)/3</f>
        <v>297.75666666666666</v>
      </c>
      <c r="H53" s="679">
        <f t="shared" ref="H53:H61" si="36">G53*92</f>
        <v>27393.613333333335</v>
      </c>
      <c r="I53" s="677">
        <f>240.06+35.87</f>
        <v>275.93</v>
      </c>
      <c r="J53" s="677">
        <v>275.94</v>
      </c>
      <c r="K53" s="677">
        <v>246.87</v>
      </c>
      <c r="L53" s="678">
        <f t="shared" ref="L53:L62" si="37">SUM(I53:K53)/3</f>
        <v>266.24666666666667</v>
      </c>
      <c r="M53" s="679">
        <f t="shared" ref="M53:M61" si="38">L53*92</f>
        <v>24494.693333333333</v>
      </c>
      <c r="N53" s="677">
        <v>221.19</v>
      </c>
      <c r="O53" s="680">
        <v>236.5</v>
      </c>
      <c r="P53" s="680">
        <v>252</v>
      </c>
      <c r="Q53" s="678">
        <f t="shared" ref="Q53:Q62" si="39">SUM(N53:P53)/3</f>
        <v>236.56333333333336</v>
      </c>
      <c r="R53" s="679">
        <f t="shared" ref="R53:R61" si="40">Q53*90</f>
        <v>21290.7</v>
      </c>
      <c r="S53" s="677">
        <v>236.93</v>
      </c>
      <c r="T53" s="680">
        <v>240.61</v>
      </c>
      <c r="U53" s="681">
        <v>249.83</v>
      </c>
      <c r="V53" s="678">
        <f t="shared" ref="V53:V62" si="41">SUM(S53:U53)/3</f>
        <v>242.45666666666668</v>
      </c>
      <c r="W53" s="682">
        <f t="shared" ref="W53:W61" si="42">V53*91</f>
        <v>22063.556666666667</v>
      </c>
      <c r="X53" s="683">
        <f t="shared" ref="X53:X58" si="43">SUM(D53+E53+F53+I53+J53+K53+N53+O53+P53+S53+T53+U53)/12</f>
        <v>260.75583333333333</v>
      </c>
      <c r="Y53" s="684">
        <f t="shared" ref="Y53:Y60" si="44">X53*365</f>
        <v>95175.879166666666</v>
      </c>
    </row>
    <row r="54" spans="1:25" ht="15" customHeight="1" thickBot="1" x14ac:dyDescent="0.3">
      <c r="A54" s="35" t="s">
        <v>126</v>
      </c>
      <c r="B54" s="671" t="s">
        <v>97</v>
      </c>
      <c r="C54" s="409" t="s">
        <v>97</v>
      </c>
      <c r="D54" s="5">
        <v>0</v>
      </c>
      <c r="E54" s="5">
        <v>0</v>
      </c>
      <c r="F54" s="5">
        <v>0</v>
      </c>
      <c r="G54" s="46">
        <f t="shared" si="35"/>
        <v>0</v>
      </c>
      <c r="H54" s="72">
        <f t="shared" si="36"/>
        <v>0</v>
      </c>
      <c r="I54" s="5">
        <v>0</v>
      </c>
      <c r="J54" s="5">
        <v>0</v>
      </c>
      <c r="K54" s="5">
        <v>0</v>
      </c>
      <c r="L54" s="46">
        <f t="shared" si="37"/>
        <v>0</v>
      </c>
      <c r="M54" s="72">
        <f t="shared" si="38"/>
        <v>0</v>
      </c>
      <c r="N54" s="5">
        <v>0</v>
      </c>
      <c r="O54" s="55">
        <v>0</v>
      </c>
      <c r="P54" s="55">
        <v>0</v>
      </c>
      <c r="Q54" s="46">
        <f t="shared" si="39"/>
        <v>0</v>
      </c>
      <c r="R54" s="72">
        <f t="shared" si="40"/>
        <v>0</v>
      </c>
      <c r="S54" s="5">
        <v>0</v>
      </c>
      <c r="T54" s="55">
        <v>0</v>
      </c>
      <c r="U54" s="56">
        <v>0</v>
      </c>
      <c r="V54" s="46">
        <f t="shared" si="41"/>
        <v>0</v>
      </c>
      <c r="W54" s="73">
        <f t="shared" si="42"/>
        <v>0</v>
      </c>
      <c r="X54" s="47">
        <f t="shared" si="43"/>
        <v>0</v>
      </c>
      <c r="Y54" s="48">
        <f t="shared" si="44"/>
        <v>0</v>
      </c>
    </row>
    <row r="55" spans="1:25" ht="15" customHeight="1" thickBot="1" x14ac:dyDescent="0.3">
      <c r="A55" s="35" t="s">
        <v>128</v>
      </c>
      <c r="B55" s="672">
        <v>19</v>
      </c>
      <c r="C55" s="409" t="s">
        <v>97</v>
      </c>
      <c r="D55" s="5">
        <f>8.57+8.73</f>
        <v>17.3</v>
      </c>
      <c r="E55" s="5">
        <f>16.9+8</f>
        <v>24.9</v>
      </c>
      <c r="F55" s="5">
        <v>21.97</v>
      </c>
      <c r="G55" s="46">
        <f t="shared" si="35"/>
        <v>21.39</v>
      </c>
      <c r="H55" s="72">
        <f t="shared" si="36"/>
        <v>1967.88</v>
      </c>
      <c r="I55" s="5">
        <f>11.68+7.97</f>
        <v>19.649999999999999</v>
      </c>
      <c r="J55" s="5">
        <v>19.649999999999999</v>
      </c>
      <c r="K55" s="5">
        <v>19.39</v>
      </c>
      <c r="L55" s="46">
        <f t="shared" si="37"/>
        <v>19.563333333333333</v>
      </c>
      <c r="M55" s="72">
        <f t="shared" si="38"/>
        <v>1799.8266666666666</v>
      </c>
      <c r="N55" s="5">
        <v>11.97</v>
      </c>
      <c r="O55" s="55">
        <v>13</v>
      </c>
      <c r="P55" s="55">
        <v>12.23</v>
      </c>
      <c r="Q55" s="46">
        <f t="shared" si="39"/>
        <v>12.4</v>
      </c>
      <c r="R55" s="72">
        <f t="shared" si="40"/>
        <v>1116</v>
      </c>
      <c r="S55" s="5">
        <v>8.8699999999999992</v>
      </c>
      <c r="T55" s="55">
        <v>9.2799999999999994</v>
      </c>
      <c r="U55" s="56">
        <v>8.1999999999999993</v>
      </c>
      <c r="V55" s="46">
        <f t="shared" si="41"/>
        <v>8.7833333333333332</v>
      </c>
      <c r="W55" s="73">
        <f t="shared" si="42"/>
        <v>799.2833333333333</v>
      </c>
      <c r="X55" s="47">
        <f t="shared" si="43"/>
        <v>15.534166666666666</v>
      </c>
      <c r="Y55" s="48">
        <f t="shared" si="44"/>
        <v>5669.9708333333328</v>
      </c>
    </row>
    <row r="56" spans="1:25" ht="15" customHeight="1" thickBot="1" x14ac:dyDescent="0.3">
      <c r="A56" s="35" t="s">
        <v>127</v>
      </c>
      <c r="B56" s="672" t="s">
        <v>373</v>
      </c>
      <c r="C56" s="409" t="s">
        <v>97</v>
      </c>
      <c r="D56" s="5">
        <v>222</v>
      </c>
      <c r="E56" s="5">
        <v>219</v>
      </c>
      <c r="F56" s="5">
        <v>200</v>
      </c>
      <c r="G56" s="46">
        <f t="shared" si="35"/>
        <v>213.66666666666666</v>
      </c>
      <c r="H56" s="72">
        <f t="shared" si="36"/>
        <v>19657.333333333332</v>
      </c>
      <c r="I56" s="5">
        <v>192</v>
      </c>
      <c r="J56" s="5">
        <v>192</v>
      </c>
      <c r="K56" s="5">
        <v>167</v>
      </c>
      <c r="L56" s="46">
        <f t="shared" si="37"/>
        <v>183.66666666666666</v>
      </c>
      <c r="M56" s="72">
        <f t="shared" si="38"/>
        <v>16897.333333333332</v>
      </c>
      <c r="N56" s="5">
        <v>187</v>
      </c>
      <c r="O56" s="55">
        <v>166</v>
      </c>
      <c r="P56" s="55">
        <v>158</v>
      </c>
      <c r="Q56" s="46">
        <f t="shared" si="39"/>
        <v>170.33333333333334</v>
      </c>
      <c r="R56" s="72">
        <f t="shared" si="40"/>
        <v>15330</v>
      </c>
      <c r="S56" s="5">
        <v>164</v>
      </c>
      <c r="T56" s="55">
        <v>171</v>
      </c>
      <c r="U56" s="56">
        <v>166</v>
      </c>
      <c r="V56" s="46">
        <f t="shared" si="41"/>
        <v>167</v>
      </c>
      <c r="W56" s="73">
        <f t="shared" si="42"/>
        <v>15197</v>
      </c>
      <c r="X56" s="47">
        <f t="shared" si="43"/>
        <v>183.66666666666666</v>
      </c>
      <c r="Y56" s="48">
        <f t="shared" si="44"/>
        <v>67038.333333333328</v>
      </c>
    </row>
    <row r="57" spans="1:25" ht="15" customHeight="1" thickBot="1" x14ac:dyDescent="0.3">
      <c r="A57" s="711" t="s">
        <v>760</v>
      </c>
      <c r="B57" s="712" t="s">
        <v>373</v>
      </c>
      <c r="C57" s="713" t="s">
        <v>97</v>
      </c>
      <c r="D57" s="714">
        <v>20</v>
      </c>
      <c r="E57" s="714">
        <v>19</v>
      </c>
      <c r="F57" s="714">
        <v>3</v>
      </c>
      <c r="G57" s="715">
        <f t="shared" ref="G57" si="45">SUM(D57:F57)/3</f>
        <v>14</v>
      </c>
      <c r="H57" s="716">
        <f t="shared" si="36"/>
        <v>1288</v>
      </c>
      <c r="I57" s="714">
        <v>0</v>
      </c>
      <c r="J57" s="714">
        <v>0</v>
      </c>
      <c r="K57" s="714">
        <v>0</v>
      </c>
      <c r="L57" s="715">
        <f t="shared" ref="L57" si="46">SUM(I57:K57)/3</f>
        <v>0</v>
      </c>
      <c r="M57" s="716">
        <f t="shared" si="38"/>
        <v>0</v>
      </c>
      <c r="N57" s="714">
        <v>3</v>
      </c>
      <c r="O57" s="717">
        <v>3</v>
      </c>
      <c r="P57" s="717">
        <v>2</v>
      </c>
      <c r="Q57" s="715">
        <f t="shared" ref="Q57:Q58" si="47">SUM(N57:P57)/3</f>
        <v>2.6666666666666665</v>
      </c>
      <c r="R57" s="716">
        <f t="shared" si="40"/>
        <v>240</v>
      </c>
      <c r="S57" s="714">
        <v>2</v>
      </c>
      <c r="T57" s="717">
        <v>1</v>
      </c>
      <c r="U57" s="718">
        <v>2</v>
      </c>
      <c r="V57" s="715">
        <f t="shared" si="41"/>
        <v>1.6666666666666667</v>
      </c>
      <c r="W57" s="719">
        <f t="shared" si="42"/>
        <v>151.66666666666669</v>
      </c>
      <c r="X57" s="720">
        <f t="shared" si="43"/>
        <v>4.583333333333333</v>
      </c>
      <c r="Y57" s="721">
        <f t="shared" si="44"/>
        <v>1672.9166666666665</v>
      </c>
    </row>
    <row r="58" spans="1:25" ht="15" customHeight="1" thickBot="1" x14ac:dyDescent="0.3">
      <c r="A58" s="711" t="s">
        <v>761</v>
      </c>
      <c r="B58" s="712" t="s">
        <v>373</v>
      </c>
      <c r="C58" s="713" t="s">
        <v>97</v>
      </c>
      <c r="D58" s="724">
        <v>602</v>
      </c>
      <c r="E58" s="714">
        <v>602</v>
      </c>
      <c r="F58" s="714">
        <v>717</v>
      </c>
      <c r="G58" s="715">
        <f t="shared" ref="G58" si="48">SUM(D58:F58)/3</f>
        <v>640.33333333333337</v>
      </c>
      <c r="H58" s="716">
        <f t="shared" si="36"/>
        <v>58910.666666666672</v>
      </c>
      <c r="I58" s="714">
        <v>782</v>
      </c>
      <c r="J58" s="714">
        <v>782</v>
      </c>
      <c r="K58" s="714">
        <v>782</v>
      </c>
      <c r="L58" s="715">
        <f t="shared" ref="L58" si="49">SUM(I58:K58)/3</f>
        <v>782</v>
      </c>
      <c r="M58" s="716">
        <f t="shared" si="38"/>
        <v>71944</v>
      </c>
      <c r="N58" s="714">
        <v>993</v>
      </c>
      <c r="O58" s="717">
        <v>993</v>
      </c>
      <c r="P58" s="717">
        <v>1032</v>
      </c>
      <c r="Q58" s="715">
        <f t="shared" si="47"/>
        <v>1006</v>
      </c>
      <c r="R58" s="716">
        <f t="shared" si="40"/>
        <v>90540</v>
      </c>
      <c r="S58" s="714">
        <v>1067</v>
      </c>
      <c r="T58" s="717">
        <v>992</v>
      </c>
      <c r="U58" s="718">
        <v>992</v>
      </c>
      <c r="V58" s="715">
        <f t="shared" si="41"/>
        <v>1017</v>
      </c>
      <c r="W58" s="719">
        <f t="shared" si="42"/>
        <v>92547</v>
      </c>
      <c r="X58" s="720">
        <f t="shared" si="43"/>
        <v>861.33333333333337</v>
      </c>
      <c r="Y58" s="721">
        <f t="shared" si="44"/>
        <v>314386.66666666669</v>
      </c>
    </row>
    <row r="59" spans="1:25" ht="15" customHeight="1" thickBot="1" x14ac:dyDescent="0.3">
      <c r="A59" s="35" t="s">
        <v>286</v>
      </c>
      <c r="B59" s="672" t="s">
        <v>373</v>
      </c>
      <c r="C59" s="409" t="s">
        <v>97</v>
      </c>
      <c r="D59" s="5" t="s">
        <v>443</v>
      </c>
      <c r="E59" s="5" t="s">
        <v>443</v>
      </c>
      <c r="F59" s="5" t="s">
        <v>443</v>
      </c>
      <c r="G59" s="46">
        <f t="shared" si="35"/>
        <v>0</v>
      </c>
      <c r="H59" s="72">
        <f t="shared" si="36"/>
        <v>0</v>
      </c>
      <c r="I59" s="5" t="s">
        <v>443</v>
      </c>
      <c r="J59" s="5" t="s">
        <v>443</v>
      </c>
      <c r="K59" s="5" t="s">
        <v>443</v>
      </c>
      <c r="L59" s="46">
        <f t="shared" si="37"/>
        <v>0</v>
      </c>
      <c r="M59" s="72">
        <f t="shared" si="38"/>
        <v>0</v>
      </c>
      <c r="N59" s="5" t="s">
        <v>443</v>
      </c>
      <c r="O59" s="5" t="s">
        <v>443</v>
      </c>
      <c r="P59" s="5" t="s">
        <v>443</v>
      </c>
      <c r="Q59" s="46">
        <f t="shared" si="39"/>
        <v>0</v>
      </c>
      <c r="R59" s="72">
        <f t="shared" si="40"/>
        <v>0</v>
      </c>
      <c r="S59" s="5" t="s">
        <v>443</v>
      </c>
      <c r="T59" s="5" t="s">
        <v>443</v>
      </c>
      <c r="U59" s="5" t="s">
        <v>443</v>
      </c>
      <c r="V59" s="46">
        <f t="shared" si="41"/>
        <v>0</v>
      </c>
      <c r="W59" s="73">
        <f t="shared" si="42"/>
        <v>0</v>
      </c>
      <c r="X59" s="47">
        <v>0</v>
      </c>
      <c r="Y59" s="48">
        <f t="shared" si="44"/>
        <v>0</v>
      </c>
    </row>
    <row r="60" spans="1:25" ht="15" customHeight="1" thickBot="1" x14ac:dyDescent="0.3">
      <c r="A60" s="35" t="s">
        <v>129</v>
      </c>
      <c r="B60" s="672" t="s">
        <v>373</v>
      </c>
      <c r="C60" s="409" t="s">
        <v>97</v>
      </c>
      <c r="D60" s="5">
        <v>12</v>
      </c>
      <c r="E60" s="5">
        <v>12</v>
      </c>
      <c r="F60" s="5">
        <v>11</v>
      </c>
      <c r="G60" s="46">
        <f t="shared" si="35"/>
        <v>11.666666666666666</v>
      </c>
      <c r="H60" s="72">
        <f t="shared" si="36"/>
        <v>1073.3333333333333</v>
      </c>
      <c r="I60" s="5">
        <v>11</v>
      </c>
      <c r="J60" s="5">
        <v>11</v>
      </c>
      <c r="K60" s="5">
        <v>11</v>
      </c>
      <c r="L60" s="46">
        <f t="shared" si="37"/>
        <v>11</v>
      </c>
      <c r="M60" s="72">
        <f t="shared" si="38"/>
        <v>1012</v>
      </c>
      <c r="N60" s="5">
        <v>11</v>
      </c>
      <c r="O60" s="55">
        <v>11</v>
      </c>
      <c r="P60" s="55">
        <v>11</v>
      </c>
      <c r="Q60" s="46">
        <f t="shared" si="39"/>
        <v>11</v>
      </c>
      <c r="R60" s="72">
        <f t="shared" si="40"/>
        <v>990</v>
      </c>
      <c r="S60" s="5">
        <v>11</v>
      </c>
      <c r="T60" s="55">
        <v>12</v>
      </c>
      <c r="U60" s="56">
        <v>12</v>
      </c>
      <c r="V60" s="46">
        <f t="shared" si="41"/>
        <v>11.666666666666666</v>
      </c>
      <c r="W60" s="74">
        <f t="shared" si="42"/>
        <v>1061.6666666666665</v>
      </c>
      <c r="X60" s="47">
        <f>SUM(D60+E60+F60+I60+J60+K60+N60+O60+P60+S60+T60+U60)/12</f>
        <v>11.333333333333334</v>
      </c>
      <c r="Y60" s="48">
        <f t="shared" si="44"/>
        <v>4136.666666666667</v>
      </c>
    </row>
    <row r="61" spans="1:25" ht="15" customHeight="1" thickBot="1" x14ac:dyDescent="0.3">
      <c r="A61" s="37" t="s">
        <v>133</v>
      </c>
      <c r="B61" s="24"/>
      <c r="C61" s="24"/>
      <c r="D61" s="57">
        <f>SUM(D53:D60)</f>
        <v>1171.5900000000001</v>
      </c>
      <c r="E61" s="57">
        <f>SUM(E53:E60)</f>
        <v>1177.55</v>
      </c>
      <c r="F61" s="57">
        <f>SUM(F53:F60)</f>
        <v>1247.3</v>
      </c>
      <c r="G61" s="50">
        <f t="shared" si="35"/>
        <v>1198.8133333333335</v>
      </c>
      <c r="H61" s="72">
        <f t="shared" si="36"/>
        <v>110290.82666666669</v>
      </c>
      <c r="I61" s="67">
        <f>SUM(I53:I60)</f>
        <v>1280.58</v>
      </c>
      <c r="J61" s="57">
        <f>SUM(J53:J60)</f>
        <v>1280.5899999999999</v>
      </c>
      <c r="K61" s="57">
        <f>SUM(K53:K60)</f>
        <v>1226.26</v>
      </c>
      <c r="L61" s="50">
        <f t="shared" si="37"/>
        <v>1262.4766666666667</v>
      </c>
      <c r="M61" s="81">
        <f t="shared" si="38"/>
        <v>116147.85333333333</v>
      </c>
      <c r="N61" s="67">
        <f>SUM(N53:N60)</f>
        <v>1427.1599999999999</v>
      </c>
      <c r="O61" s="57">
        <f>SUM(O53:O60)</f>
        <v>1422.5</v>
      </c>
      <c r="P61" s="57">
        <f>SUM(P53:P60)</f>
        <v>1467.23</v>
      </c>
      <c r="Q61" s="50">
        <f t="shared" si="39"/>
        <v>1438.9633333333331</v>
      </c>
      <c r="R61" s="72">
        <f t="shared" si="40"/>
        <v>129506.69999999998</v>
      </c>
      <c r="S61" s="67">
        <f>SUM(S53:S60)</f>
        <v>1489.8</v>
      </c>
      <c r="T61" s="57">
        <f>SUM(T53:T60)</f>
        <v>1425.8899999999999</v>
      </c>
      <c r="U61" s="58">
        <f>SUM(U53:U60)</f>
        <v>1430.03</v>
      </c>
      <c r="V61" s="50">
        <f t="shared" si="41"/>
        <v>1448.573333333333</v>
      </c>
      <c r="W61" s="82">
        <f t="shared" si="42"/>
        <v>131820.17333333331</v>
      </c>
      <c r="X61" s="51">
        <f>SUM(X53:X60)</f>
        <v>1337.2066666666667</v>
      </c>
      <c r="Y61" s="51">
        <f>SUM(Y53:Y60)</f>
        <v>488080.43333333341</v>
      </c>
    </row>
    <row r="62" spans="1:25" ht="15" customHeight="1" thickBot="1" x14ac:dyDescent="0.3">
      <c r="A62" s="38" t="s">
        <v>137</v>
      </c>
      <c r="B62" s="25"/>
      <c r="C62" s="25"/>
      <c r="D62" s="57">
        <f>D51+D61</f>
        <v>5470.49</v>
      </c>
      <c r="E62" s="57">
        <f>E51+E61</f>
        <v>5543.35</v>
      </c>
      <c r="F62" s="57">
        <f>F51+F61+1</f>
        <v>5614.0000000000009</v>
      </c>
      <c r="G62" s="57">
        <f>G51+G61</f>
        <v>5542.2800000000007</v>
      </c>
      <c r="H62" s="50">
        <f>SUM(H51+H61)</f>
        <v>509889.76</v>
      </c>
      <c r="I62" s="57">
        <f>I51+I61</f>
        <v>5627.38</v>
      </c>
      <c r="J62" s="57">
        <f>J51+J61</f>
        <v>5642.9900000000007</v>
      </c>
      <c r="K62" s="57">
        <f>K51+K61</f>
        <v>5647.1600000000008</v>
      </c>
      <c r="L62" s="82">
        <f t="shared" si="37"/>
        <v>5639.1766666666672</v>
      </c>
      <c r="M62" s="50">
        <f>SUM(M51+M61)</f>
        <v>518804.25333333341</v>
      </c>
      <c r="N62" s="67">
        <f>N51+N61</f>
        <v>5913.36</v>
      </c>
      <c r="O62" s="57">
        <f>O51+O61</f>
        <v>5921.3099999999995</v>
      </c>
      <c r="P62" s="57">
        <f>P51+P61</f>
        <v>5936.5300000000007</v>
      </c>
      <c r="Q62" s="71">
        <f t="shared" si="39"/>
        <v>5923.7333333333327</v>
      </c>
      <c r="R62" s="50">
        <f>SUM(R51+R61)</f>
        <v>533135.99999999988</v>
      </c>
      <c r="S62" s="67">
        <f>S51+S61</f>
        <v>5895.1000000000013</v>
      </c>
      <c r="T62" s="57">
        <f>T51+T61</f>
        <v>5808.49</v>
      </c>
      <c r="U62" s="58">
        <f>U51+U61</f>
        <v>5837.829999999999</v>
      </c>
      <c r="V62" s="71">
        <f t="shared" si="41"/>
        <v>5847.1399999999994</v>
      </c>
      <c r="W62" s="50">
        <f>SUM(W51+W61)</f>
        <v>532089.74</v>
      </c>
      <c r="X62" s="57">
        <f>X51+X61</f>
        <v>5738.0825000000013</v>
      </c>
      <c r="Y62" s="59">
        <f>Y51+Y61</f>
        <v>2094400.1125</v>
      </c>
    </row>
    <row r="63" spans="1:25" ht="15" customHeight="1" x14ac:dyDescent="0.2">
      <c r="A63" s="722"/>
      <c r="D63" s="468"/>
      <c r="E63" s="468"/>
      <c r="F63" s="468"/>
    </row>
    <row r="64" spans="1:25" ht="16.5" customHeight="1" thickBot="1" x14ac:dyDescent="0.25">
      <c r="A64" s="30" t="s">
        <v>136</v>
      </c>
      <c r="B64" s="6"/>
      <c r="C64" s="6"/>
      <c r="D64" s="8"/>
      <c r="E64" s="8"/>
      <c r="F64" s="8"/>
      <c r="G64" s="8"/>
      <c r="H64" s="8"/>
      <c r="I64" s="8"/>
      <c r="J64" s="8"/>
      <c r="K64" s="8"/>
      <c r="L64" s="8"/>
      <c r="M64" s="8"/>
      <c r="N64" s="8"/>
      <c r="O64" s="8"/>
      <c r="P64" s="8"/>
      <c r="Q64" s="8"/>
      <c r="R64" s="8"/>
      <c r="S64" s="8"/>
      <c r="T64" s="8"/>
      <c r="U64" s="8"/>
      <c r="V64" s="8"/>
      <c r="W64" s="8"/>
      <c r="X64" s="8"/>
      <c r="Y64" s="8"/>
    </row>
    <row r="65" spans="1:25" ht="16.5" customHeight="1" thickBot="1" x14ac:dyDescent="0.3">
      <c r="A65" s="673" t="s">
        <v>679</v>
      </c>
      <c r="B65" s="927" t="s">
        <v>134</v>
      </c>
      <c r="C65" s="928"/>
      <c r="D65" s="928"/>
      <c r="E65" s="928"/>
      <c r="F65" s="928"/>
      <c r="G65" s="928"/>
      <c r="H65" s="928"/>
      <c r="I65" s="928"/>
      <c r="J65" s="928"/>
      <c r="K65" s="928"/>
      <c r="L65" s="928"/>
      <c r="M65" s="928"/>
      <c r="N65" s="928"/>
      <c r="O65" s="928"/>
      <c r="P65" s="928"/>
      <c r="Q65" s="928"/>
      <c r="R65" s="928"/>
      <c r="S65" s="928"/>
      <c r="T65" s="928"/>
      <c r="U65" s="928"/>
      <c r="V65" s="26"/>
      <c r="W65" s="26"/>
      <c r="X65" s="65"/>
      <c r="Y65" s="8"/>
    </row>
    <row r="66" spans="1:25" ht="15" customHeight="1" x14ac:dyDescent="0.25">
      <c r="A66" s="39"/>
      <c r="B66" s="27" t="s">
        <v>455</v>
      </c>
      <c r="C66" s="925" t="s">
        <v>456</v>
      </c>
      <c r="D66" s="40"/>
      <c r="E66" s="41"/>
      <c r="F66" s="41"/>
      <c r="G66" s="929" t="s">
        <v>228</v>
      </c>
      <c r="H66" s="931" t="s">
        <v>233</v>
      </c>
      <c r="I66" s="41"/>
      <c r="J66" s="41"/>
      <c r="K66" s="41"/>
      <c r="L66" s="929" t="s">
        <v>228</v>
      </c>
      <c r="M66" s="931" t="s">
        <v>233</v>
      </c>
      <c r="N66" s="41"/>
      <c r="O66" s="41"/>
      <c r="P66" s="41"/>
      <c r="Q66" s="929" t="s">
        <v>228</v>
      </c>
      <c r="R66" s="921" t="s">
        <v>233</v>
      </c>
      <c r="S66" s="41"/>
      <c r="T66" s="41"/>
      <c r="U66" s="42"/>
      <c r="V66" s="929" t="s">
        <v>228</v>
      </c>
      <c r="W66" s="921" t="s">
        <v>233</v>
      </c>
      <c r="X66" s="923" t="s">
        <v>135</v>
      </c>
      <c r="Y66" s="925" t="s">
        <v>136</v>
      </c>
    </row>
    <row r="67" spans="1:25" ht="24" customHeight="1" thickBot="1" x14ac:dyDescent="0.3">
      <c r="A67" s="32" t="s">
        <v>55</v>
      </c>
      <c r="B67" s="28" t="s">
        <v>457</v>
      </c>
      <c r="C67" s="926"/>
      <c r="D67" s="43">
        <v>42917</v>
      </c>
      <c r="E67" s="44">
        <v>42948</v>
      </c>
      <c r="F67" s="44">
        <v>42979</v>
      </c>
      <c r="G67" s="930"/>
      <c r="H67" s="932"/>
      <c r="I67" s="44">
        <v>43009</v>
      </c>
      <c r="J67" s="44">
        <v>43040</v>
      </c>
      <c r="K67" s="44">
        <v>43070</v>
      </c>
      <c r="L67" s="930"/>
      <c r="M67" s="932"/>
      <c r="N67" s="44">
        <v>43101</v>
      </c>
      <c r="O67" s="44">
        <v>43132</v>
      </c>
      <c r="P67" s="44">
        <v>43160</v>
      </c>
      <c r="Q67" s="930"/>
      <c r="R67" s="922"/>
      <c r="S67" s="44">
        <v>43191</v>
      </c>
      <c r="T67" s="44">
        <v>43221</v>
      </c>
      <c r="U67" s="45">
        <v>43252</v>
      </c>
      <c r="V67" s="930"/>
      <c r="W67" s="922"/>
      <c r="X67" s="924"/>
      <c r="Y67" s="926"/>
    </row>
    <row r="68" spans="1:25" ht="15" customHeight="1" thickBot="1" x14ac:dyDescent="0.3">
      <c r="A68" s="33" t="s">
        <v>243</v>
      </c>
      <c r="B68" s="29">
        <v>863</v>
      </c>
      <c r="C68" s="29">
        <v>829</v>
      </c>
      <c r="D68" s="83">
        <v>846.2</v>
      </c>
      <c r="E68" s="83">
        <v>842</v>
      </c>
      <c r="F68" s="79">
        <v>871.8</v>
      </c>
      <c r="G68" s="46">
        <f t="shared" ref="G68:G77" si="50">SUM(D68:F68)/3</f>
        <v>853.33333333333337</v>
      </c>
      <c r="H68" s="72">
        <f>G68*92</f>
        <v>78506.666666666672</v>
      </c>
      <c r="I68" s="79">
        <v>842.8</v>
      </c>
      <c r="J68" s="79">
        <v>846.5</v>
      </c>
      <c r="K68" s="79">
        <v>831.2</v>
      </c>
      <c r="L68" s="46">
        <f>SUM(I68:K68)/3</f>
        <v>840.16666666666663</v>
      </c>
      <c r="M68" s="72">
        <f>L68*92</f>
        <v>77295.333333333328</v>
      </c>
      <c r="N68" s="79">
        <v>847.8</v>
      </c>
      <c r="O68" s="60">
        <v>862.6</v>
      </c>
      <c r="P68" s="60">
        <v>854.7</v>
      </c>
      <c r="Q68" s="46">
        <f>SUM(N68:P68)/3</f>
        <v>855.03333333333342</v>
      </c>
      <c r="R68" s="72">
        <f>Q68*90</f>
        <v>76953.000000000015</v>
      </c>
      <c r="S68" s="79">
        <v>850.7</v>
      </c>
      <c r="T68" s="60">
        <v>834.8</v>
      </c>
      <c r="U68" s="85">
        <v>869.5</v>
      </c>
      <c r="V68" s="46">
        <f>SUM(S68:U68)/3</f>
        <v>851.66666666666663</v>
      </c>
      <c r="W68" s="73">
        <f>V68*91</f>
        <v>77501.666666666657</v>
      </c>
      <c r="X68" s="47">
        <f>SUM(D68+E68+F68+I68+J68+K68+N68+O68+P68+S68+T68+U68)/12</f>
        <v>850.05000000000007</v>
      </c>
      <c r="Y68" s="48">
        <f>X68*365</f>
        <v>310268.25</v>
      </c>
    </row>
    <row r="69" spans="1:25" ht="15" customHeight="1" thickBot="1" x14ac:dyDescent="0.3">
      <c r="A69" s="34" t="s">
        <v>121</v>
      </c>
      <c r="B69" s="29">
        <v>128</v>
      </c>
      <c r="C69" s="29">
        <v>126</v>
      </c>
      <c r="D69" s="84">
        <v>120.1</v>
      </c>
      <c r="E69" s="84">
        <v>123.7</v>
      </c>
      <c r="F69" s="80">
        <v>121.5</v>
      </c>
      <c r="G69" s="46">
        <f t="shared" si="50"/>
        <v>121.76666666666667</v>
      </c>
      <c r="H69" s="72">
        <f>G69*92</f>
        <v>11202.533333333333</v>
      </c>
      <c r="I69" s="80">
        <v>125.1</v>
      </c>
      <c r="J69" s="80">
        <v>116.2</v>
      </c>
      <c r="K69" s="80">
        <v>125.3</v>
      </c>
      <c r="L69" s="46">
        <f>SUM(I69:K69)/3</f>
        <v>122.2</v>
      </c>
      <c r="M69" s="72">
        <f>L69*92</f>
        <v>11242.4</v>
      </c>
      <c r="N69" s="80">
        <v>120.4</v>
      </c>
      <c r="O69" s="61">
        <v>130.9</v>
      </c>
      <c r="P69" s="61">
        <v>121.8</v>
      </c>
      <c r="Q69" s="46">
        <f>SUM(N69:P69)/3</f>
        <v>124.36666666666667</v>
      </c>
      <c r="R69" s="72">
        <f>Q69*90</f>
        <v>11193</v>
      </c>
      <c r="S69" s="80">
        <v>122.2</v>
      </c>
      <c r="T69" s="61">
        <v>128.80000000000001</v>
      </c>
      <c r="U69" s="63">
        <v>136.6</v>
      </c>
      <c r="V69" s="46">
        <f>SUM(S69:U69)/3</f>
        <v>129.20000000000002</v>
      </c>
      <c r="W69" s="73">
        <f>V69*91</f>
        <v>11757.2</v>
      </c>
      <c r="X69" s="47">
        <f t="shared" ref="X69:X76" si="51">SUM(D69+E69+F69+I69+J69+K69+N69+O69+P69+S69+T69+U69)/12</f>
        <v>124.38333333333333</v>
      </c>
      <c r="Y69" s="48">
        <f t="shared" ref="Y69:Y76" si="52">X69*365</f>
        <v>45399.916666666664</v>
      </c>
    </row>
    <row r="70" spans="1:25" ht="15" customHeight="1" thickBot="1" x14ac:dyDescent="0.3">
      <c r="A70" s="35" t="s">
        <v>267</v>
      </c>
      <c r="B70" s="29">
        <v>259</v>
      </c>
      <c r="C70" s="29">
        <v>248</v>
      </c>
      <c r="D70" s="4">
        <v>300</v>
      </c>
      <c r="E70" s="4">
        <v>305.8</v>
      </c>
      <c r="F70" s="3">
        <v>291.10000000000002</v>
      </c>
      <c r="G70" s="46">
        <f t="shared" si="50"/>
        <v>298.96666666666664</v>
      </c>
      <c r="H70" s="72">
        <f>G70*92</f>
        <v>27504.933333333331</v>
      </c>
      <c r="I70" s="3">
        <v>271.10000000000002</v>
      </c>
      <c r="J70" s="3">
        <v>256.7</v>
      </c>
      <c r="K70" s="3">
        <v>261</v>
      </c>
      <c r="L70" s="46">
        <f>SUM(I70:K70)/3</f>
        <v>262.93333333333334</v>
      </c>
      <c r="M70" s="72">
        <f>L70*92</f>
        <v>24189.866666666669</v>
      </c>
      <c r="N70" s="3">
        <v>252.7</v>
      </c>
      <c r="O70" s="62">
        <v>271.10000000000002</v>
      </c>
      <c r="P70" s="62">
        <v>262.60000000000002</v>
      </c>
      <c r="Q70" s="46">
        <f>SUM(N70:P70)/3</f>
        <v>262.13333333333333</v>
      </c>
      <c r="R70" s="72">
        <f>Q70*90</f>
        <v>23592</v>
      </c>
      <c r="S70" s="3">
        <v>258.60000000000002</v>
      </c>
      <c r="T70" s="62">
        <v>252.5</v>
      </c>
      <c r="U70" s="64">
        <v>251.4</v>
      </c>
      <c r="V70" s="46">
        <f>SUM(S70:U70)/3</f>
        <v>254.16666666666666</v>
      </c>
      <c r="W70" s="73">
        <f>V70*91</f>
        <v>23129.166666666664</v>
      </c>
      <c r="X70" s="47">
        <f t="shared" si="51"/>
        <v>269.55</v>
      </c>
      <c r="Y70" s="48">
        <f t="shared" si="52"/>
        <v>98385.75</v>
      </c>
    </row>
    <row r="71" spans="1:25" ht="15" customHeight="1" thickBot="1" x14ac:dyDescent="0.3">
      <c r="A71" s="35" t="s">
        <v>374</v>
      </c>
      <c r="B71" s="29">
        <v>1472</v>
      </c>
      <c r="C71" s="29">
        <v>1408</v>
      </c>
      <c r="D71" s="4">
        <v>1305.5999999999999</v>
      </c>
      <c r="E71" s="4">
        <v>1303.5</v>
      </c>
      <c r="F71" s="3">
        <v>1336.9</v>
      </c>
      <c r="G71" s="46">
        <f t="shared" si="50"/>
        <v>1315.3333333333333</v>
      </c>
      <c r="H71" s="72">
        <f>G71*92</f>
        <v>121010.66666666666</v>
      </c>
      <c r="I71" s="3">
        <v>1419</v>
      </c>
      <c r="J71" s="3">
        <v>1378.4</v>
      </c>
      <c r="K71" s="3">
        <v>1382.7</v>
      </c>
      <c r="L71" s="46">
        <f>SUM(I71:K71)/3</f>
        <v>1393.3666666666668</v>
      </c>
      <c r="M71" s="72">
        <f>L71*92</f>
        <v>128189.73333333334</v>
      </c>
      <c r="N71" s="3">
        <v>1377.7</v>
      </c>
      <c r="O71" s="62">
        <v>1347.6</v>
      </c>
      <c r="P71" s="62">
        <v>1320.5</v>
      </c>
      <c r="Q71" s="46">
        <f>SUM(N71:P71)/3</f>
        <v>1348.6000000000001</v>
      </c>
      <c r="R71" s="72">
        <f>Q71*90</f>
        <v>121374.00000000001</v>
      </c>
      <c r="S71" s="3">
        <v>1297.8</v>
      </c>
      <c r="T71" s="62">
        <v>1276.7</v>
      </c>
      <c r="U71" s="64">
        <v>1259.2</v>
      </c>
      <c r="V71" s="46">
        <f>SUM(S71:U71)/3</f>
        <v>1277.8999999999999</v>
      </c>
      <c r="W71" s="73">
        <f>V71*91</f>
        <v>116288.9</v>
      </c>
      <c r="X71" s="47">
        <f t="shared" si="51"/>
        <v>1333.8</v>
      </c>
      <c r="Y71" s="48">
        <f t="shared" si="52"/>
        <v>486837</v>
      </c>
    </row>
    <row r="72" spans="1:25" ht="15" customHeight="1" thickBot="1" x14ac:dyDescent="0.3">
      <c r="A72" s="36" t="s">
        <v>231</v>
      </c>
      <c r="B72" s="29">
        <v>404</v>
      </c>
      <c r="C72" s="29">
        <v>395</v>
      </c>
      <c r="D72" s="4">
        <v>301.8</v>
      </c>
      <c r="E72" s="4">
        <v>299.89999999999998</v>
      </c>
      <c r="F72" s="3">
        <v>306.2</v>
      </c>
      <c r="G72" s="46">
        <f t="shared" si="50"/>
        <v>302.63333333333338</v>
      </c>
      <c r="H72" s="72">
        <f t="shared" ref="H72:H81" si="53">G72*92</f>
        <v>27842.26666666667</v>
      </c>
      <c r="I72" s="3">
        <v>312.89999999999998</v>
      </c>
      <c r="J72" s="3">
        <v>320.8</v>
      </c>
      <c r="K72" s="3">
        <v>308.10000000000002</v>
      </c>
      <c r="L72" s="46">
        <f t="shared" ref="L72:L82" si="54">SUM(I72:K72)/3</f>
        <v>313.93333333333334</v>
      </c>
      <c r="M72" s="72">
        <f t="shared" ref="M72:M82" si="55">L72*92</f>
        <v>28881.866666666669</v>
      </c>
      <c r="N72" s="3">
        <v>311.8</v>
      </c>
      <c r="O72" s="62">
        <v>316.3</v>
      </c>
      <c r="P72" s="62">
        <v>307.7</v>
      </c>
      <c r="Q72" s="46">
        <f t="shared" ref="Q72:Q82" si="56">SUM(N72:P72)/3</f>
        <v>311.93333333333334</v>
      </c>
      <c r="R72" s="72">
        <f t="shared" ref="R72:R82" si="57">Q72*90</f>
        <v>28074</v>
      </c>
      <c r="S72" s="3">
        <v>317.8</v>
      </c>
      <c r="T72" s="62">
        <v>309.10000000000002</v>
      </c>
      <c r="U72" s="64">
        <v>308</v>
      </c>
      <c r="V72" s="46">
        <f t="shared" ref="V72:V82" si="58">SUM(S72:U72)/3</f>
        <v>311.63333333333338</v>
      </c>
      <c r="W72" s="73">
        <f t="shared" ref="W72:W82" si="59">V72*91</f>
        <v>28358.633333333339</v>
      </c>
      <c r="X72" s="47">
        <f t="shared" si="51"/>
        <v>310.03333333333336</v>
      </c>
      <c r="Y72" s="48">
        <f t="shared" si="52"/>
        <v>113162.16666666667</v>
      </c>
    </row>
    <row r="73" spans="1:25" ht="15" customHeight="1" thickBot="1" x14ac:dyDescent="0.3">
      <c r="A73" s="35" t="s">
        <v>15</v>
      </c>
      <c r="B73" s="29">
        <v>58</v>
      </c>
      <c r="C73" s="29">
        <v>52</v>
      </c>
      <c r="D73" s="4">
        <v>46.5</v>
      </c>
      <c r="E73" s="4">
        <v>39</v>
      </c>
      <c r="F73" s="3">
        <v>45.6</v>
      </c>
      <c r="G73" s="46">
        <f t="shared" si="50"/>
        <v>43.699999999999996</v>
      </c>
      <c r="H73" s="72">
        <f t="shared" si="53"/>
        <v>4020.3999999999996</v>
      </c>
      <c r="I73" s="3">
        <v>49.6</v>
      </c>
      <c r="J73" s="3">
        <v>47.8</v>
      </c>
      <c r="K73" s="3">
        <v>58.2</v>
      </c>
      <c r="L73" s="46">
        <f t="shared" si="54"/>
        <v>51.866666666666674</v>
      </c>
      <c r="M73" s="72">
        <f t="shared" si="55"/>
        <v>4771.7333333333336</v>
      </c>
      <c r="N73" s="3">
        <v>55.3</v>
      </c>
      <c r="O73" s="62">
        <v>57.2</v>
      </c>
      <c r="P73" s="62">
        <v>57.8</v>
      </c>
      <c r="Q73" s="46">
        <f t="shared" si="56"/>
        <v>56.766666666666673</v>
      </c>
      <c r="R73" s="72">
        <f t="shared" si="57"/>
        <v>5109.0000000000009</v>
      </c>
      <c r="S73" s="3">
        <v>57.2</v>
      </c>
      <c r="T73" s="62">
        <v>58.2</v>
      </c>
      <c r="U73" s="64">
        <v>49.7</v>
      </c>
      <c r="V73" s="46">
        <f t="shared" si="58"/>
        <v>55.033333333333339</v>
      </c>
      <c r="W73" s="73">
        <f t="shared" si="59"/>
        <v>5008.0333333333338</v>
      </c>
      <c r="X73" s="47">
        <f t="shared" si="51"/>
        <v>51.841666666666676</v>
      </c>
      <c r="Y73" s="48">
        <f t="shared" si="52"/>
        <v>18922.208333333336</v>
      </c>
    </row>
    <row r="74" spans="1:25" ht="15" customHeight="1" thickBot="1" x14ac:dyDescent="0.3">
      <c r="A74" s="35" t="s">
        <v>16</v>
      </c>
      <c r="B74" s="29">
        <v>232</v>
      </c>
      <c r="C74" s="29">
        <v>226</v>
      </c>
      <c r="D74" s="4">
        <v>200.5</v>
      </c>
      <c r="E74" s="4">
        <v>217.5</v>
      </c>
      <c r="F74" s="3">
        <v>204.1</v>
      </c>
      <c r="G74" s="46">
        <f t="shared" si="50"/>
        <v>207.36666666666667</v>
      </c>
      <c r="H74" s="72">
        <f t="shared" si="53"/>
        <v>19077.733333333334</v>
      </c>
      <c r="I74" s="3">
        <v>212.4</v>
      </c>
      <c r="J74" s="3">
        <v>217</v>
      </c>
      <c r="K74" s="3">
        <v>206.3</v>
      </c>
      <c r="L74" s="46">
        <f t="shared" si="54"/>
        <v>211.9</v>
      </c>
      <c r="M74" s="72">
        <f t="shared" si="55"/>
        <v>19494.8</v>
      </c>
      <c r="N74" s="3">
        <v>197.5</v>
      </c>
      <c r="O74" s="62">
        <v>196.4</v>
      </c>
      <c r="P74" s="62">
        <v>202.8</v>
      </c>
      <c r="Q74" s="46">
        <f t="shared" si="56"/>
        <v>198.9</v>
      </c>
      <c r="R74" s="72">
        <f t="shared" si="57"/>
        <v>17901</v>
      </c>
      <c r="S74" s="3">
        <v>209.8</v>
      </c>
      <c r="T74" s="62">
        <v>223.9</v>
      </c>
      <c r="U74" s="64">
        <v>213.2</v>
      </c>
      <c r="V74" s="46">
        <f t="shared" si="58"/>
        <v>215.63333333333335</v>
      </c>
      <c r="W74" s="73">
        <f t="shared" si="59"/>
        <v>19622.633333333335</v>
      </c>
      <c r="X74" s="47">
        <f t="shared" si="51"/>
        <v>208.45000000000002</v>
      </c>
      <c r="Y74" s="48">
        <f t="shared" si="52"/>
        <v>76084.25</v>
      </c>
    </row>
    <row r="75" spans="1:25" ht="15" customHeight="1" thickBot="1" x14ac:dyDescent="0.3">
      <c r="A75" s="35" t="s">
        <v>122</v>
      </c>
      <c r="B75" s="29">
        <v>102</v>
      </c>
      <c r="C75" s="29">
        <v>98</v>
      </c>
      <c r="D75" s="4">
        <v>86.7</v>
      </c>
      <c r="E75" s="4">
        <v>86.4</v>
      </c>
      <c r="F75" s="3">
        <v>85.4</v>
      </c>
      <c r="G75" s="46">
        <f t="shared" si="50"/>
        <v>86.166666666666671</v>
      </c>
      <c r="H75" s="72">
        <f t="shared" si="53"/>
        <v>7927.3333333333339</v>
      </c>
      <c r="I75" s="3">
        <v>87.3</v>
      </c>
      <c r="J75" s="3">
        <v>91.6</v>
      </c>
      <c r="K75" s="3">
        <v>85.1</v>
      </c>
      <c r="L75" s="46">
        <f t="shared" si="54"/>
        <v>88</v>
      </c>
      <c r="M75" s="72">
        <f t="shared" si="55"/>
        <v>8096</v>
      </c>
      <c r="N75" s="3">
        <v>83.4</v>
      </c>
      <c r="O75" s="62">
        <v>84.3</v>
      </c>
      <c r="P75" s="62">
        <v>90.5</v>
      </c>
      <c r="Q75" s="46">
        <f t="shared" si="56"/>
        <v>86.066666666666663</v>
      </c>
      <c r="R75" s="72">
        <f t="shared" si="57"/>
        <v>7746</v>
      </c>
      <c r="S75" s="3">
        <v>92.8</v>
      </c>
      <c r="T75" s="62">
        <v>84.5</v>
      </c>
      <c r="U75" s="64">
        <v>88.7</v>
      </c>
      <c r="V75" s="46">
        <f t="shared" si="58"/>
        <v>88.666666666666671</v>
      </c>
      <c r="W75" s="73">
        <f t="shared" si="59"/>
        <v>8068.666666666667</v>
      </c>
      <c r="X75" s="47">
        <f t="shared" si="51"/>
        <v>87.22499999999998</v>
      </c>
      <c r="Y75" s="48">
        <f t="shared" si="52"/>
        <v>31837.124999999993</v>
      </c>
    </row>
    <row r="76" spans="1:25" ht="15" customHeight="1" thickBot="1" x14ac:dyDescent="0.3">
      <c r="A76" s="36" t="s">
        <v>232</v>
      </c>
      <c r="B76" s="29">
        <f>338+176</f>
        <v>514</v>
      </c>
      <c r="C76" s="29">
        <f>327+176</f>
        <v>503</v>
      </c>
      <c r="D76" s="670">
        <v>0</v>
      </c>
      <c r="E76" s="670">
        <v>0</v>
      </c>
      <c r="F76" s="3">
        <v>0</v>
      </c>
      <c r="G76" s="46">
        <f t="shared" ref="G76" si="60">SUM(D76:F76)/3</f>
        <v>0</v>
      </c>
      <c r="H76" s="72">
        <f t="shared" si="53"/>
        <v>0</v>
      </c>
      <c r="I76" s="3">
        <v>0</v>
      </c>
      <c r="J76" s="3">
        <v>0</v>
      </c>
      <c r="K76" s="3">
        <v>0</v>
      </c>
      <c r="L76" s="46">
        <f t="shared" si="54"/>
        <v>0</v>
      </c>
      <c r="M76" s="72">
        <f t="shared" si="55"/>
        <v>0</v>
      </c>
      <c r="N76" s="3">
        <v>0</v>
      </c>
      <c r="O76" s="62">
        <v>0</v>
      </c>
      <c r="P76" s="62">
        <v>0</v>
      </c>
      <c r="Q76" s="46">
        <f t="shared" si="56"/>
        <v>0</v>
      </c>
      <c r="R76" s="72">
        <f t="shared" si="57"/>
        <v>0</v>
      </c>
      <c r="S76" s="3">
        <v>0</v>
      </c>
      <c r="T76" s="62">
        <v>0</v>
      </c>
      <c r="U76" s="64">
        <v>0</v>
      </c>
      <c r="V76" s="46">
        <f t="shared" si="58"/>
        <v>0</v>
      </c>
      <c r="W76" s="73">
        <f t="shared" si="59"/>
        <v>0</v>
      </c>
      <c r="X76" s="47">
        <f t="shared" si="51"/>
        <v>0</v>
      </c>
      <c r="Y76" s="48">
        <f t="shared" si="52"/>
        <v>0</v>
      </c>
    </row>
    <row r="77" spans="1:25" ht="15" customHeight="1" thickBot="1" x14ac:dyDescent="0.3">
      <c r="A77" s="35" t="s">
        <v>130</v>
      </c>
      <c r="B77" s="29">
        <v>128</v>
      </c>
      <c r="C77" s="29">
        <v>128</v>
      </c>
      <c r="D77" s="4">
        <v>81.599999999999994</v>
      </c>
      <c r="E77" s="4">
        <v>91.6</v>
      </c>
      <c r="F77" s="4">
        <v>86.3</v>
      </c>
      <c r="G77" s="46">
        <f t="shared" si="50"/>
        <v>86.5</v>
      </c>
      <c r="H77" s="72">
        <f t="shared" si="53"/>
        <v>7958</v>
      </c>
      <c r="I77" s="3">
        <v>81.7</v>
      </c>
      <c r="J77" s="4">
        <v>87.9</v>
      </c>
      <c r="K77" s="4">
        <v>84.4</v>
      </c>
      <c r="L77" s="46">
        <f t="shared" si="54"/>
        <v>84.666666666666671</v>
      </c>
      <c r="M77" s="72">
        <f t="shared" si="55"/>
        <v>7789.3333333333339</v>
      </c>
      <c r="N77" s="4">
        <v>79</v>
      </c>
      <c r="O77" s="4">
        <v>77.400000000000006</v>
      </c>
      <c r="P77" s="4">
        <v>90.8</v>
      </c>
      <c r="Q77" s="46">
        <f t="shared" si="56"/>
        <v>82.399999999999991</v>
      </c>
      <c r="R77" s="72">
        <f t="shared" si="57"/>
        <v>7415.9999999999991</v>
      </c>
      <c r="S77" s="4">
        <v>97.5</v>
      </c>
      <c r="T77" s="4">
        <v>94.7</v>
      </c>
      <c r="U77" s="4">
        <v>93.4</v>
      </c>
      <c r="V77" s="46">
        <f t="shared" si="58"/>
        <v>95.2</v>
      </c>
      <c r="W77" s="73">
        <f t="shared" si="59"/>
        <v>8663.2000000000007</v>
      </c>
      <c r="X77" s="47">
        <f>SUM(D77+E77+F77+I77+J77+K77+N77+O77+P77+S77+T77+U77)/12</f>
        <v>87.191666666666663</v>
      </c>
      <c r="Y77" s="48">
        <f>X77*365</f>
        <v>31824.958333333332</v>
      </c>
    </row>
    <row r="78" spans="1:25" ht="15" customHeight="1" thickBot="1" x14ac:dyDescent="0.3">
      <c r="A78" s="34" t="s">
        <v>19</v>
      </c>
      <c r="B78" s="29">
        <v>551</v>
      </c>
      <c r="C78" s="29">
        <v>535</v>
      </c>
      <c r="D78" s="84">
        <v>395.9</v>
      </c>
      <c r="E78" s="84">
        <v>397.8</v>
      </c>
      <c r="F78" s="80">
        <v>395.5</v>
      </c>
      <c r="G78" s="46">
        <f>SUM(D78:F78)/3</f>
        <v>396.40000000000003</v>
      </c>
      <c r="H78" s="72">
        <f t="shared" si="53"/>
        <v>36468.800000000003</v>
      </c>
      <c r="I78" s="80">
        <v>390.9</v>
      </c>
      <c r="J78" s="3">
        <v>396.5</v>
      </c>
      <c r="K78" s="80">
        <v>393</v>
      </c>
      <c r="L78" s="46">
        <f t="shared" si="54"/>
        <v>393.4666666666667</v>
      </c>
      <c r="M78" s="73">
        <f t="shared" si="55"/>
        <v>36198.933333333334</v>
      </c>
      <c r="N78" s="3">
        <v>392.2</v>
      </c>
      <c r="O78" s="61">
        <v>373.7</v>
      </c>
      <c r="P78" s="61">
        <v>387.5</v>
      </c>
      <c r="Q78" s="46">
        <f t="shared" si="56"/>
        <v>384.4666666666667</v>
      </c>
      <c r="R78" s="72">
        <f t="shared" si="57"/>
        <v>34602</v>
      </c>
      <c r="S78" s="3">
        <v>389.5</v>
      </c>
      <c r="T78" s="61">
        <v>393.3</v>
      </c>
      <c r="U78" s="63">
        <v>406.5</v>
      </c>
      <c r="V78" s="46">
        <f t="shared" si="58"/>
        <v>396.43333333333334</v>
      </c>
      <c r="W78" s="73">
        <f t="shared" si="59"/>
        <v>36075.433333333334</v>
      </c>
      <c r="X78" s="47">
        <f>SUM(D78+E78+F78+I78+J78+K78+N78+O78+P78+S78+T78+U78)/12</f>
        <v>392.69166666666661</v>
      </c>
      <c r="Y78" s="48">
        <f>X78*365</f>
        <v>143332.45833333331</v>
      </c>
    </row>
    <row r="79" spans="1:25" ht="15" customHeight="1" thickBot="1" x14ac:dyDescent="0.3">
      <c r="A79" s="36" t="s">
        <v>372</v>
      </c>
      <c r="B79" s="29">
        <f>326+115</f>
        <v>441</v>
      </c>
      <c r="C79" s="29">
        <f>320+110</f>
        <v>430</v>
      </c>
      <c r="D79" s="4">
        <f>322.7+100</f>
        <v>422.7</v>
      </c>
      <c r="E79" s="4">
        <f>326.5+91.6</f>
        <v>418.1</v>
      </c>
      <c r="F79" s="3">
        <f>312.5+95.4</f>
        <v>407.9</v>
      </c>
      <c r="G79" s="46">
        <f>SUM(D79:F79)/3</f>
        <v>416.23333333333329</v>
      </c>
      <c r="H79" s="72">
        <f t="shared" si="53"/>
        <v>38293.46666666666</v>
      </c>
      <c r="I79" s="3">
        <f>307.7+100</f>
        <v>407.7</v>
      </c>
      <c r="J79" s="3">
        <f>313.6+100.6</f>
        <v>414.20000000000005</v>
      </c>
      <c r="K79" s="3">
        <f>316.6+93.2</f>
        <v>409.8</v>
      </c>
      <c r="L79" s="46">
        <f t="shared" si="54"/>
        <v>410.56666666666666</v>
      </c>
      <c r="M79" s="72">
        <f t="shared" si="55"/>
        <v>37772.133333333331</v>
      </c>
      <c r="N79" s="3">
        <f>324.1+84</f>
        <v>408.1</v>
      </c>
      <c r="O79" s="62">
        <f>322.3+85.3</f>
        <v>407.6</v>
      </c>
      <c r="P79" s="62">
        <f>315+74.2</f>
        <v>389.2</v>
      </c>
      <c r="Q79" s="46">
        <f t="shared" si="56"/>
        <v>401.63333333333338</v>
      </c>
      <c r="R79" s="72">
        <f t="shared" si="57"/>
        <v>36147.000000000007</v>
      </c>
      <c r="S79" s="3">
        <f>318.3+79.8</f>
        <v>398.1</v>
      </c>
      <c r="T79" s="62">
        <f>326.5+79.7</f>
        <v>406.2</v>
      </c>
      <c r="U79" s="64">
        <f>325.2+77.1</f>
        <v>402.29999999999995</v>
      </c>
      <c r="V79" s="46">
        <f t="shared" si="58"/>
        <v>402.2</v>
      </c>
      <c r="W79" s="73">
        <f t="shared" si="59"/>
        <v>36600.199999999997</v>
      </c>
      <c r="X79" s="47">
        <f>SUM(D79+E79+F79+I79+J79+K79+N79+O79+P79+S79+T79+U79)/12</f>
        <v>407.6583333333333</v>
      </c>
      <c r="Y79" s="48">
        <f>X79*365</f>
        <v>148795.29166666666</v>
      </c>
    </row>
    <row r="80" spans="1:25" ht="15" customHeight="1" thickBot="1" x14ac:dyDescent="0.3">
      <c r="A80" s="35" t="s">
        <v>123</v>
      </c>
      <c r="B80" s="29">
        <v>200</v>
      </c>
      <c r="C80" s="29">
        <v>189</v>
      </c>
      <c r="D80" s="4">
        <v>150.4</v>
      </c>
      <c r="E80" s="4">
        <v>157.80000000000001</v>
      </c>
      <c r="F80" s="3">
        <v>156.19999999999999</v>
      </c>
      <c r="G80" s="46">
        <f>SUM(D80:F80)/3</f>
        <v>154.80000000000001</v>
      </c>
      <c r="H80" s="72">
        <f t="shared" si="53"/>
        <v>14241.6</v>
      </c>
      <c r="I80" s="3">
        <v>163.80000000000001</v>
      </c>
      <c r="J80" s="3">
        <v>158.9</v>
      </c>
      <c r="K80" s="3">
        <v>165.8</v>
      </c>
      <c r="L80" s="46">
        <f t="shared" si="54"/>
        <v>162.83333333333334</v>
      </c>
      <c r="M80" s="72">
        <f t="shared" si="55"/>
        <v>14980.666666666668</v>
      </c>
      <c r="N80" s="3">
        <v>182</v>
      </c>
      <c r="O80" s="62">
        <v>177.8</v>
      </c>
      <c r="P80" s="62">
        <v>170.1</v>
      </c>
      <c r="Q80" s="46">
        <f t="shared" si="56"/>
        <v>176.63333333333333</v>
      </c>
      <c r="R80" s="72">
        <f t="shared" si="57"/>
        <v>15897</v>
      </c>
      <c r="S80" s="3">
        <v>169.6</v>
      </c>
      <c r="T80" s="62">
        <v>167.4</v>
      </c>
      <c r="U80" s="64">
        <v>170</v>
      </c>
      <c r="V80" s="46">
        <f t="shared" si="58"/>
        <v>169</v>
      </c>
      <c r="W80" s="73">
        <f t="shared" si="59"/>
        <v>15379</v>
      </c>
      <c r="X80" s="47">
        <f>SUM(D80+E80+F80+I80+J80+K80+N80+O80+P80+S80+T80+U80)/12</f>
        <v>165.81666666666666</v>
      </c>
      <c r="Y80" s="48">
        <f>X80*365</f>
        <v>60523.083333333328</v>
      </c>
    </row>
    <row r="81" spans="1:25" ht="15" customHeight="1" thickBot="1" x14ac:dyDescent="0.3">
      <c r="A81" s="35" t="s">
        <v>124</v>
      </c>
      <c r="B81" s="22"/>
      <c r="C81" s="22"/>
      <c r="D81" s="670">
        <v>0</v>
      </c>
      <c r="E81" s="670">
        <v>0</v>
      </c>
      <c r="F81" s="670">
        <v>0</v>
      </c>
      <c r="G81" s="49">
        <f>SUM(D81:F81)/3</f>
        <v>0</v>
      </c>
      <c r="H81" s="72">
        <f t="shared" si="53"/>
        <v>0</v>
      </c>
      <c r="I81" s="670">
        <v>0</v>
      </c>
      <c r="J81" s="670">
        <v>0</v>
      </c>
      <c r="K81" s="670">
        <v>0</v>
      </c>
      <c r="L81" s="49">
        <f t="shared" si="54"/>
        <v>0</v>
      </c>
      <c r="M81" s="72">
        <f t="shared" si="55"/>
        <v>0</v>
      </c>
      <c r="N81" s="670">
        <v>0</v>
      </c>
      <c r="O81" s="670">
        <v>0</v>
      </c>
      <c r="P81" s="670">
        <v>0</v>
      </c>
      <c r="Q81" s="49">
        <f t="shared" si="56"/>
        <v>0</v>
      </c>
      <c r="R81" s="72">
        <f t="shared" si="57"/>
        <v>0</v>
      </c>
      <c r="S81" s="670">
        <v>0</v>
      </c>
      <c r="T81" s="670">
        <v>0</v>
      </c>
      <c r="U81" s="670">
        <v>0</v>
      </c>
      <c r="V81" s="49">
        <f t="shared" si="58"/>
        <v>0</v>
      </c>
      <c r="W81" s="74">
        <f t="shared" si="59"/>
        <v>0</v>
      </c>
      <c r="X81" s="47">
        <v>0</v>
      </c>
      <c r="Y81" s="48">
        <f>X81*365</f>
        <v>0</v>
      </c>
    </row>
    <row r="82" spans="1:25" ht="15" customHeight="1" thickBot="1" x14ac:dyDescent="0.3">
      <c r="A82" s="484" t="s">
        <v>131</v>
      </c>
      <c r="B82" s="485"/>
      <c r="C82" s="485"/>
      <c r="D82" s="486">
        <f>SUM(D68:D81)</f>
        <v>4258</v>
      </c>
      <c r="E82" s="486">
        <f>SUM(E68:E81)</f>
        <v>4283.1000000000004</v>
      </c>
      <c r="F82" s="486">
        <f>SUM(F68:F81)</f>
        <v>4308.5</v>
      </c>
      <c r="G82" s="487">
        <f>SUM(D82:F82)/3</f>
        <v>4283.2</v>
      </c>
      <c r="H82" s="488">
        <f>G82*92</f>
        <v>394054.39999999997</v>
      </c>
      <c r="I82" s="489">
        <f>SUM(I68:I81)</f>
        <v>4364.3</v>
      </c>
      <c r="J82" s="486">
        <f>SUM(J68:J81)</f>
        <v>4332.5</v>
      </c>
      <c r="K82" s="486">
        <f>SUM(K68:K81)</f>
        <v>4310.8999999999996</v>
      </c>
      <c r="L82" s="487">
        <f t="shared" si="54"/>
        <v>4335.8999999999996</v>
      </c>
      <c r="M82" s="490">
        <f t="shared" si="55"/>
        <v>398902.8</v>
      </c>
      <c r="N82" s="491">
        <f>SUM(N68:N81)</f>
        <v>4307.9000000000005</v>
      </c>
      <c r="O82" s="486">
        <f>SUM(O68:O81)</f>
        <v>4302.9000000000005</v>
      </c>
      <c r="P82" s="486">
        <f>SUM(P68:P81)</f>
        <v>4256</v>
      </c>
      <c r="Q82" s="487">
        <f t="shared" si="56"/>
        <v>4288.9333333333334</v>
      </c>
      <c r="R82" s="490">
        <f t="shared" si="57"/>
        <v>386004</v>
      </c>
      <c r="S82" s="489">
        <f>SUM(S68:S81)</f>
        <v>4261.6000000000004</v>
      </c>
      <c r="T82" s="486">
        <f>SUM(T68:T80)</f>
        <v>4230.0999999999995</v>
      </c>
      <c r="U82" s="492">
        <f>SUM(U68:U81)-1</f>
        <v>4247.4999999999991</v>
      </c>
      <c r="V82" s="487">
        <f t="shared" si="58"/>
        <v>4246.4000000000005</v>
      </c>
      <c r="W82" s="493">
        <f t="shared" si="59"/>
        <v>386422.4</v>
      </c>
      <c r="X82" s="494">
        <f>SUM(D82+E82+F82+I82+J82+K82+N82+O82+P82+S82+T82+U82)/12</f>
        <v>4288.6083333333336</v>
      </c>
      <c r="Y82" s="494">
        <f>SUM(Y68:Y81)</f>
        <v>1565372.4583333333</v>
      </c>
    </row>
    <row r="83" spans="1:25" ht="15" customHeight="1" thickBot="1" x14ac:dyDescent="0.3">
      <c r="A83" s="31" t="s">
        <v>132</v>
      </c>
      <c r="B83" s="23"/>
      <c r="C83" s="23"/>
      <c r="D83" s="52"/>
      <c r="E83" s="52"/>
      <c r="F83" s="53"/>
      <c r="G83" s="70"/>
      <c r="H83" s="70"/>
      <c r="I83" s="54"/>
      <c r="J83" s="52"/>
      <c r="K83" s="53"/>
      <c r="L83" s="69"/>
      <c r="M83" s="69"/>
      <c r="N83" s="54"/>
      <c r="O83" s="52"/>
      <c r="P83" s="53"/>
      <c r="Q83" s="69"/>
      <c r="R83" s="69"/>
      <c r="S83" s="54"/>
      <c r="T83" s="52"/>
      <c r="U83" s="53"/>
      <c r="V83" s="53"/>
      <c r="W83" s="52"/>
      <c r="X83" s="68"/>
      <c r="Y83" s="51" t="s">
        <v>0</v>
      </c>
    </row>
    <row r="84" spans="1:25" ht="15" customHeight="1" thickBot="1" x14ac:dyDescent="0.3">
      <c r="A84" s="674" t="s">
        <v>125</v>
      </c>
      <c r="B84" s="675">
        <v>544</v>
      </c>
      <c r="C84" s="676" t="s">
        <v>97</v>
      </c>
      <c r="D84" s="677">
        <v>369.55</v>
      </c>
      <c r="E84" s="677">
        <v>363.84</v>
      </c>
      <c r="F84" s="677">
        <f>330.37+30.3</f>
        <v>360.67</v>
      </c>
      <c r="G84" s="678">
        <f t="shared" ref="G84:G90" si="61">SUM(D84:F84)/3</f>
        <v>364.68666666666667</v>
      </c>
      <c r="H84" s="679">
        <f t="shared" ref="H84:H90" si="62">G84*92</f>
        <v>33551.173333333332</v>
      </c>
      <c r="I84" s="677">
        <v>343.19</v>
      </c>
      <c r="J84" s="677">
        <v>316.89999999999998</v>
      </c>
      <c r="K84" s="677">
        <v>295.35000000000002</v>
      </c>
      <c r="L84" s="678">
        <f t="shared" ref="L84:L91" si="63">SUM(I84:K84)/3</f>
        <v>318.47999999999996</v>
      </c>
      <c r="M84" s="679">
        <f t="shared" ref="M84:M90" si="64">L84*92</f>
        <v>29300.159999999996</v>
      </c>
      <c r="N84" s="677">
        <v>265.35000000000002</v>
      </c>
      <c r="O84" s="680">
        <f>276.61+41</f>
        <v>317.61</v>
      </c>
      <c r="P84" s="680">
        <f>271.13+51.39</f>
        <v>322.52</v>
      </c>
      <c r="Q84" s="678">
        <f t="shared" ref="Q84:Q91" si="65">SUM(N84:P84)/3</f>
        <v>301.82666666666665</v>
      </c>
      <c r="R84" s="679">
        <f t="shared" ref="R84:R90" si="66">Q84*90</f>
        <v>27164.399999999998</v>
      </c>
      <c r="S84" s="677">
        <v>304.60000000000002</v>
      </c>
      <c r="T84" s="680">
        <v>286.19</v>
      </c>
      <c r="U84" s="681">
        <v>286.19</v>
      </c>
      <c r="V84" s="678">
        <f t="shared" ref="V84:V91" si="67">SUM(S84:U84)/3</f>
        <v>292.32666666666665</v>
      </c>
      <c r="W84" s="682">
        <f t="shared" ref="W84:W90" si="68">V84*91</f>
        <v>26601.726666666666</v>
      </c>
      <c r="X84" s="683">
        <f>SUM(D84+E84+F84+I84+J84+K84+N84+O84+P84+S84+T84+U84)/12</f>
        <v>319.33</v>
      </c>
      <c r="Y84" s="684">
        <f t="shared" ref="Y84:Y89" si="69">X84*365</f>
        <v>116555.45</v>
      </c>
    </row>
    <row r="85" spans="1:25" ht="15" customHeight="1" thickBot="1" x14ac:dyDescent="0.3">
      <c r="A85" s="35" t="s">
        <v>126</v>
      </c>
      <c r="B85" s="671" t="s">
        <v>97</v>
      </c>
      <c r="C85" s="409" t="s">
        <v>97</v>
      </c>
      <c r="D85" s="5">
        <f>8+3.87</f>
        <v>11.870000000000001</v>
      </c>
      <c r="E85" s="5">
        <f>7.06+4</f>
        <v>11.059999999999999</v>
      </c>
      <c r="F85" s="5">
        <f>4.17+4</f>
        <v>8.17</v>
      </c>
      <c r="G85" s="46">
        <f t="shared" si="61"/>
        <v>10.366666666666667</v>
      </c>
      <c r="H85" s="72">
        <f t="shared" si="62"/>
        <v>953.73333333333335</v>
      </c>
      <c r="I85" s="5">
        <f>3+4</f>
        <v>7</v>
      </c>
      <c r="J85" s="5">
        <f>1.63+4</f>
        <v>5.63</v>
      </c>
      <c r="K85" s="5">
        <v>4</v>
      </c>
      <c r="L85" s="46">
        <f t="shared" si="63"/>
        <v>5.543333333333333</v>
      </c>
      <c r="M85" s="72">
        <f t="shared" si="64"/>
        <v>509.98666666666662</v>
      </c>
      <c r="N85" s="5">
        <v>4</v>
      </c>
      <c r="O85" s="55">
        <v>4</v>
      </c>
      <c r="P85" s="55">
        <v>4</v>
      </c>
      <c r="Q85" s="46">
        <f t="shared" si="65"/>
        <v>4</v>
      </c>
      <c r="R85" s="72">
        <f t="shared" si="66"/>
        <v>360</v>
      </c>
      <c r="S85" s="5">
        <v>2.13</v>
      </c>
      <c r="T85" s="55">
        <v>0</v>
      </c>
      <c r="U85" s="56">
        <v>0</v>
      </c>
      <c r="V85" s="46">
        <f t="shared" si="67"/>
        <v>0.71</v>
      </c>
      <c r="W85" s="73">
        <f t="shared" si="68"/>
        <v>64.61</v>
      </c>
      <c r="X85" s="47">
        <f>SUM(D85+E85+F85+I85+J85+K85+N85+O85+P85+S85+T85+U85)/12</f>
        <v>5.1550000000000002</v>
      </c>
      <c r="Y85" s="48">
        <f t="shared" si="69"/>
        <v>1881.575</v>
      </c>
    </row>
    <row r="86" spans="1:25" ht="15" customHeight="1" thickBot="1" x14ac:dyDescent="0.3">
      <c r="A86" s="35" t="s">
        <v>128</v>
      </c>
      <c r="B86" s="672" t="s">
        <v>678</v>
      </c>
      <c r="C86" s="409" t="s">
        <v>97</v>
      </c>
      <c r="D86" s="5">
        <v>18.16</v>
      </c>
      <c r="E86" s="5">
        <v>21.29</v>
      </c>
      <c r="F86" s="5">
        <v>23.03</v>
      </c>
      <c r="G86" s="46">
        <f t="shared" si="61"/>
        <v>20.826666666666668</v>
      </c>
      <c r="H86" s="72">
        <f t="shared" si="62"/>
        <v>1916.0533333333335</v>
      </c>
      <c r="I86" s="5">
        <v>25.32</v>
      </c>
      <c r="J86" s="5">
        <v>21.13</v>
      </c>
      <c r="K86" s="5">
        <v>18</v>
      </c>
      <c r="L86" s="46">
        <f t="shared" si="63"/>
        <v>21.483333333333334</v>
      </c>
      <c r="M86" s="72">
        <f t="shared" si="64"/>
        <v>1976.4666666666667</v>
      </c>
      <c r="N86" s="5">
        <v>20.350000000000001</v>
      </c>
      <c r="O86" s="55">
        <v>25.43</v>
      </c>
      <c r="P86" s="55">
        <f>12.9+9.19</f>
        <v>22.09</v>
      </c>
      <c r="Q86" s="46">
        <f t="shared" si="65"/>
        <v>22.623333333333335</v>
      </c>
      <c r="R86" s="72">
        <f t="shared" si="66"/>
        <v>2036.1000000000001</v>
      </c>
      <c r="S86" s="5">
        <v>19.3</v>
      </c>
      <c r="T86" s="55">
        <v>18</v>
      </c>
      <c r="U86" s="56">
        <v>18.03</v>
      </c>
      <c r="V86" s="46">
        <f t="shared" si="67"/>
        <v>18.443333333333332</v>
      </c>
      <c r="W86" s="73">
        <f t="shared" si="68"/>
        <v>1678.3433333333332</v>
      </c>
      <c r="X86" s="47">
        <f>SUM(D86+E86+F86+I86+J86+K86+N86+O86+P86+S86+T86+U86)/12</f>
        <v>20.84416666666667</v>
      </c>
      <c r="Y86" s="48">
        <f t="shared" si="69"/>
        <v>7608.1208333333343</v>
      </c>
    </row>
    <row r="87" spans="1:25" ht="15" customHeight="1" thickBot="1" x14ac:dyDescent="0.3">
      <c r="A87" s="35" t="s">
        <v>127</v>
      </c>
      <c r="B87" s="672" t="s">
        <v>373</v>
      </c>
      <c r="C87" s="409" t="s">
        <v>97</v>
      </c>
      <c r="D87" s="5">
        <v>258</v>
      </c>
      <c r="E87" s="5">
        <v>236</v>
      </c>
      <c r="F87" s="5">
        <v>229</v>
      </c>
      <c r="G87" s="46">
        <f t="shared" si="61"/>
        <v>241</v>
      </c>
      <c r="H87" s="72">
        <f t="shared" si="62"/>
        <v>22172</v>
      </c>
      <c r="I87" s="5">
        <v>226</v>
      </c>
      <c r="J87" s="5">
        <v>222</v>
      </c>
      <c r="K87" s="5">
        <v>212</v>
      </c>
      <c r="L87" s="46">
        <f t="shared" si="63"/>
        <v>220</v>
      </c>
      <c r="M87" s="72">
        <f t="shared" si="64"/>
        <v>20240</v>
      </c>
      <c r="N87" s="5">
        <v>204</v>
      </c>
      <c r="O87" s="55">
        <v>196</v>
      </c>
      <c r="P87" s="55">
        <v>199</v>
      </c>
      <c r="Q87" s="46">
        <f t="shared" si="65"/>
        <v>199.66666666666666</v>
      </c>
      <c r="R87" s="72">
        <f t="shared" si="66"/>
        <v>17970</v>
      </c>
      <c r="S87" s="5">
        <v>203</v>
      </c>
      <c r="T87" s="55">
        <v>212</v>
      </c>
      <c r="U87" s="56">
        <v>212</v>
      </c>
      <c r="V87" s="46">
        <f t="shared" si="67"/>
        <v>209</v>
      </c>
      <c r="W87" s="73">
        <f t="shared" si="68"/>
        <v>19019</v>
      </c>
      <c r="X87" s="47">
        <f>SUM(D87+E87+F87+I87+J87+K87+N87+O87+P87+S87+T87+U87)/12</f>
        <v>217.41666666666666</v>
      </c>
      <c r="Y87" s="48">
        <f t="shared" si="69"/>
        <v>79357.083333333328</v>
      </c>
    </row>
    <row r="88" spans="1:25" ht="15" customHeight="1" thickBot="1" x14ac:dyDescent="0.3">
      <c r="A88" s="35" t="s">
        <v>286</v>
      </c>
      <c r="B88" s="672" t="s">
        <v>373</v>
      </c>
      <c r="C88" s="409" t="s">
        <v>97</v>
      </c>
      <c r="D88" s="5" t="s">
        <v>443</v>
      </c>
      <c r="E88" s="5" t="s">
        <v>443</v>
      </c>
      <c r="F88" s="5" t="s">
        <v>443</v>
      </c>
      <c r="G88" s="46">
        <f t="shared" si="61"/>
        <v>0</v>
      </c>
      <c r="H88" s="72">
        <f t="shared" si="62"/>
        <v>0</v>
      </c>
      <c r="I88" s="5" t="s">
        <v>443</v>
      </c>
      <c r="J88" s="5" t="s">
        <v>443</v>
      </c>
      <c r="K88" s="5" t="s">
        <v>443</v>
      </c>
      <c r="L88" s="46">
        <f t="shared" si="63"/>
        <v>0</v>
      </c>
      <c r="M88" s="72">
        <f t="shared" si="64"/>
        <v>0</v>
      </c>
      <c r="N88" s="5" t="s">
        <v>443</v>
      </c>
      <c r="O88" s="55" t="s">
        <v>443</v>
      </c>
      <c r="P88" s="55" t="s">
        <v>443</v>
      </c>
      <c r="Q88" s="46">
        <f t="shared" si="65"/>
        <v>0</v>
      </c>
      <c r="R88" s="72">
        <f t="shared" si="66"/>
        <v>0</v>
      </c>
      <c r="S88" s="5" t="s">
        <v>443</v>
      </c>
      <c r="T88" s="55" t="s">
        <v>443</v>
      </c>
      <c r="U88" s="56" t="s">
        <v>443</v>
      </c>
      <c r="V88" s="46">
        <f t="shared" si="67"/>
        <v>0</v>
      </c>
      <c r="W88" s="73">
        <f t="shared" si="68"/>
        <v>0</v>
      </c>
      <c r="X88" s="47">
        <v>0</v>
      </c>
      <c r="Y88" s="48">
        <f t="shared" si="69"/>
        <v>0</v>
      </c>
    </row>
    <row r="89" spans="1:25" ht="15" customHeight="1" thickBot="1" x14ac:dyDescent="0.3">
      <c r="A89" s="35" t="s">
        <v>129</v>
      </c>
      <c r="B89" s="672" t="s">
        <v>373</v>
      </c>
      <c r="C89" s="409" t="s">
        <v>97</v>
      </c>
      <c r="D89" s="5">
        <v>9</v>
      </c>
      <c r="E89" s="5">
        <v>10</v>
      </c>
      <c r="F89" s="5">
        <v>11</v>
      </c>
      <c r="G89" s="46">
        <f t="shared" si="61"/>
        <v>10</v>
      </c>
      <c r="H89" s="72">
        <f t="shared" si="62"/>
        <v>920</v>
      </c>
      <c r="I89" s="5">
        <v>11</v>
      </c>
      <c r="J89" s="5">
        <v>11</v>
      </c>
      <c r="K89" s="5">
        <v>11</v>
      </c>
      <c r="L89" s="46">
        <f t="shared" si="63"/>
        <v>11</v>
      </c>
      <c r="M89" s="72">
        <f t="shared" si="64"/>
        <v>1012</v>
      </c>
      <c r="N89" s="5">
        <v>11</v>
      </c>
      <c r="O89" s="55">
        <v>11</v>
      </c>
      <c r="P89" s="55">
        <v>11</v>
      </c>
      <c r="Q89" s="46">
        <f t="shared" si="65"/>
        <v>11</v>
      </c>
      <c r="R89" s="72">
        <f t="shared" si="66"/>
        <v>990</v>
      </c>
      <c r="S89" s="5">
        <v>11</v>
      </c>
      <c r="T89" s="55">
        <v>11</v>
      </c>
      <c r="U89" s="56">
        <v>11</v>
      </c>
      <c r="V89" s="46">
        <f t="shared" si="67"/>
        <v>11</v>
      </c>
      <c r="W89" s="74">
        <f t="shared" si="68"/>
        <v>1001</v>
      </c>
      <c r="X89" s="47">
        <f>SUM(D89+E89+F89+I89+J89+K89+N89+O89+P89+S89+T89+U89)/12</f>
        <v>10.75</v>
      </c>
      <c r="Y89" s="48">
        <f t="shared" si="69"/>
        <v>3923.75</v>
      </c>
    </row>
    <row r="90" spans="1:25" ht="15" customHeight="1" thickBot="1" x14ac:dyDescent="0.3">
      <c r="A90" s="37" t="s">
        <v>133</v>
      </c>
      <c r="B90" s="24"/>
      <c r="C90" s="24"/>
      <c r="D90" s="57">
        <f>SUM(D84:D89)</f>
        <v>666.58</v>
      </c>
      <c r="E90" s="57">
        <f>SUM(E84:E89)</f>
        <v>642.19000000000005</v>
      </c>
      <c r="F90" s="57">
        <f>SUM(F84:F89)</f>
        <v>631.87</v>
      </c>
      <c r="G90" s="50">
        <f t="shared" si="61"/>
        <v>646.88</v>
      </c>
      <c r="H90" s="72">
        <f t="shared" si="62"/>
        <v>59512.959999999999</v>
      </c>
      <c r="I90" s="67">
        <f>SUM(I84:I89)</f>
        <v>612.51</v>
      </c>
      <c r="J90" s="57">
        <f>SUM(J84:J89)</f>
        <v>576.66</v>
      </c>
      <c r="K90" s="57">
        <f>SUM(K84:K89)</f>
        <v>540.35</v>
      </c>
      <c r="L90" s="50">
        <f t="shared" si="63"/>
        <v>576.50666666666666</v>
      </c>
      <c r="M90" s="81">
        <f t="shared" si="64"/>
        <v>53038.613333333335</v>
      </c>
      <c r="N90" s="67">
        <f>SUM(N84:N89)</f>
        <v>504.70000000000005</v>
      </c>
      <c r="O90" s="57">
        <f>SUM(O84:O89)</f>
        <v>554.04</v>
      </c>
      <c r="P90" s="57">
        <f>SUM(P84:P89)</f>
        <v>558.6099999999999</v>
      </c>
      <c r="Q90" s="50">
        <f t="shared" si="65"/>
        <v>539.11666666666667</v>
      </c>
      <c r="R90" s="72">
        <f t="shared" si="66"/>
        <v>48520.5</v>
      </c>
      <c r="S90" s="67">
        <f>SUM(S84:S89)</f>
        <v>540.03</v>
      </c>
      <c r="T90" s="57">
        <f>SUM(T84:T89)</f>
        <v>527.19000000000005</v>
      </c>
      <c r="U90" s="58">
        <f>SUM(U84:U89)</f>
        <v>527.22</v>
      </c>
      <c r="V90" s="50">
        <f t="shared" si="67"/>
        <v>531.48</v>
      </c>
      <c r="W90" s="82">
        <f t="shared" si="68"/>
        <v>48364.68</v>
      </c>
      <c r="X90" s="51">
        <f>SUM(X84:X89)</f>
        <v>573.49583333333328</v>
      </c>
      <c r="Y90" s="51">
        <f>SUM(Y84:Y89)</f>
        <v>209325.97916666666</v>
      </c>
    </row>
    <row r="91" spans="1:25" ht="15" customHeight="1" thickBot="1" x14ac:dyDescent="0.3">
      <c r="A91" s="38" t="s">
        <v>137</v>
      </c>
      <c r="B91" s="25"/>
      <c r="C91" s="25"/>
      <c r="D91" s="57">
        <f>D82+D90</f>
        <v>4924.58</v>
      </c>
      <c r="E91" s="57">
        <f>E82+E90</f>
        <v>4925.2900000000009</v>
      </c>
      <c r="F91" s="57">
        <f>F82+F90+1</f>
        <v>4941.37</v>
      </c>
      <c r="G91" s="57">
        <f>G82+G90</f>
        <v>4930.08</v>
      </c>
      <c r="H91" s="50">
        <f>SUM(H82+H90)</f>
        <v>453567.36</v>
      </c>
      <c r="I91" s="57">
        <f>I82+I90+1</f>
        <v>4977.8100000000004</v>
      </c>
      <c r="J91" s="57">
        <f>J82+J90+1</f>
        <v>4910.16</v>
      </c>
      <c r="K91" s="57">
        <f>K82+K90</f>
        <v>4851.25</v>
      </c>
      <c r="L91" s="82">
        <f t="shared" si="63"/>
        <v>4913.0733333333337</v>
      </c>
      <c r="M91" s="50">
        <f>SUM(M82+M90)</f>
        <v>451941.41333333333</v>
      </c>
      <c r="N91" s="67">
        <f>N82+N90</f>
        <v>4812.6000000000004</v>
      </c>
      <c r="O91" s="57">
        <f>O82+O90</f>
        <v>4856.9400000000005</v>
      </c>
      <c r="P91" s="57">
        <f>P82+P90</f>
        <v>4814.6099999999997</v>
      </c>
      <c r="Q91" s="71">
        <f t="shared" si="65"/>
        <v>4828.05</v>
      </c>
      <c r="R91" s="50">
        <f>SUM(R82+R90)</f>
        <v>434524.5</v>
      </c>
      <c r="S91" s="67">
        <f>S82+S90</f>
        <v>4801.63</v>
      </c>
      <c r="T91" s="57">
        <f>T82+T90</f>
        <v>4757.2899999999991</v>
      </c>
      <c r="U91" s="58">
        <f>U82+U90</f>
        <v>4774.7199999999993</v>
      </c>
      <c r="V91" s="71">
        <f t="shared" si="67"/>
        <v>4777.8799999999992</v>
      </c>
      <c r="W91" s="50">
        <f>SUM(W82+W90)</f>
        <v>434787.08</v>
      </c>
      <c r="X91" s="57">
        <f>X82+X90</f>
        <v>4862.104166666667</v>
      </c>
      <c r="Y91" s="59">
        <f>Y82+Y90</f>
        <v>1774698.4375</v>
      </c>
    </row>
    <row r="92" spans="1:25" ht="15" customHeight="1" x14ac:dyDescent="0.25">
      <c r="A92" s="76"/>
      <c r="B92" s="11"/>
      <c r="C92" s="11"/>
      <c r="D92" s="77"/>
      <c r="E92" s="77"/>
      <c r="F92" s="77"/>
      <c r="G92" s="77"/>
      <c r="H92" s="75"/>
      <c r="I92" s="77"/>
      <c r="J92" s="77"/>
      <c r="K92" s="77"/>
      <c r="L92" s="86"/>
      <c r="M92" s="75"/>
      <c r="N92" s="77"/>
      <c r="O92" s="77"/>
      <c r="P92" s="77"/>
      <c r="Q92" s="66"/>
      <c r="R92" s="75"/>
      <c r="S92" s="77"/>
      <c r="T92" s="77"/>
      <c r="U92" s="77"/>
      <c r="V92" s="66"/>
      <c r="W92" s="75"/>
      <c r="X92" s="77"/>
      <c r="Y92" s="77"/>
    </row>
    <row r="93" spans="1:25" ht="15" customHeight="1" x14ac:dyDescent="0.2"/>
  </sheetData>
  <mergeCells count="36">
    <mergeCell ref="V3:V4"/>
    <mergeCell ref="W3:W4"/>
    <mergeCell ref="X3:X4"/>
    <mergeCell ref="Y3:Y4"/>
    <mergeCell ref="B2:U2"/>
    <mergeCell ref="C3:C4"/>
    <mergeCell ref="G3:G4"/>
    <mergeCell ref="H3:H4"/>
    <mergeCell ref="L3:L4"/>
    <mergeCell ref="M3:M4"/>
    <mergeCell ref="Q3:Q4"/>
    <mergeCell ref="R3:R4"/>
    <mergeCell ref="W35:W36"/>
    <mergeCell ref="X35:X36"/>
    <mergeCell ref="Y35:Y36"/>
    <mergeCell ref="B34:U34"/>
    <mergeCell ref="C35:C36"/>
    <mergeCell ref="G35:G36"/>
    <mergeCell ref="H35:H36"/>
    <mergeCell ref="L35:L36"/>
    <mergeCell ref="M35:M36"/>
    <mergeCell ref="Q35:Q36"/>
    <mergeCell ref="R35:R36"/>
    <mergeCell ref="V35:V36"/>
    <mergeCell ref="W66:W67"/>
    <mergeCell ref="X66:X67"/>
    <mergeCell ref="Y66:Y67"/>
    <mergeCell ref="B65:U65"/>
    <mergeCell ref="C66:C67"/>
    <mergeCell ref="G66:G67"/>
    <mergeCell ref="H66:H67"/>
    <mergeCell ref="L66:L67"/>
    <mergeCell ref="M66:M67"/>
    <mergeCell ref="Q66:Q67"/>
    <mergeCell ref="R66:R67"/>
    <mergeCell ref="V66:V67"/>
  </mergeCells>
  <phoneticPr fontId="21" type="noConversion"/>
  <printOptions horizontalCentered="1"/>
  <pageMargins left="0" right="0" top="0.97" bottom="0.5" header="0.33" footer="0.5"/>
  <pageSetup scale="54" fitToHeight="0" orientation="landscape" r:id="rId1"/>
  <headerFooter alignWithMargins="0">
    <oddHeader>&amp;C&amp;"Arial,Bold"&amp;12DEPARTMENT OF CORRECTIONS
 COST OF CARE Year 2021
(Based on Fiscal Year 2020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7" tint="0.59999389629810485"/>
    <pageSetUpPr fitToPage="1"/>
  </sheetPr>
  <dimension ref="A1:O14"/>
  <sheetViews>
    <sheetView showGridLines="0" workbookViewId="0">
      <selection activeCell="A19" sqref="A19"/>
    </sheetView>
  </sheetViews>
  <sheetFormatPr defaultColWidth="9.140625" defaultRowHeight="15" x14ac:dyDescent="0.25"/>
  <cols>
    <col min="1" max="1" width="30.140625" style="137" customWidth="1"/>
    <col min="2" max="2" width="8.140625" style="137" bestFit="1" customWidth="1"/>
    <col min="3" max="3" width="8" style="137" bestFit="1" customWidth="1"/>
    <col min="4" max="4" width="8.140625" style="137" bestFit="1" customWidth="1"/>
    <col min="5" max="5" width="7.7109375" style="137" bestFit="1" customWidth="1"/>
    <col min="6" max="6" width="8.28515625" style="137" bestFit="1" customWidth="1"/>
    <col min="7" max="7" width="8.85546875" style="137" customWidth="1"/>
    <col min="8" max="8" width="7.7109375" style="137" bestFit="1" customWidth="1"/>
    <col min="9" max="10" width="8" style="137" bestFit="1" customWidth="1"/>
    <col min="11" max="11" width="8.42578125" style="137" bestFit="1" customWidth="1"/>
    <col min="12" max="12" width="8.28515625" style="137" bestFit="1" customWidth="1"/>
    <col min="13" max="13" width="8.140625" style="137" bestFit="1" customWidth="1"/>
    <col min="14" max="14" width="15.140625" style="137" customWidth="1"/>
    <col min="15" max="15" width="12.5703125" style="137" customWidth="1"/>
    <col min="16" max="16384" width="9.140625" style="137"/>
  </cols>
  <sheetData>
    <row r="1" spans="1:15" ht="31.5" customHeight="1" thickBot="1" x14ac:dyDescent="0.3">
      <c r="A1" s="401" t="s">
        <v>219</v>
      </c>
      <c r="B1" s="933" t="s">
        <v>792</v>
      </c>
      <c r="C1" s="934"/>
      <c r="D1" s="934"/>
      <c r="E1" s="934"/>
      <c r="F1" s="934"/>
      <c r="G1" s="934"/>
      <c r="H1" s="934"/>
      <c r="I1" s="934"/>
      <c r="J1" s="934"/>
      <c r="K1" s="934"/>
      <c r="L1" s="934"/>
      <c r="M1" s="935"/>
      <c r="N1" s="936" t="s">
        <v>236</v>
      </c>
      <c r="O1" s="938" t="s">
        <v>237</v>
      </c>
    </row>
    <row r="2" spans="1:15" ht="15.75" thickBot="1" x14ac:dyDescent="0.3">
      <c r="A2" s="402"/>
      <c r="B2" s="403">
        <v>43655</v>
      </c>
      <c r="C2" s="403">
        <v>43686</v>
      </c>
      <c r="D2" s="403">
        <v>43717</v>
      </c>
      <c r="E2" s="403">
        <v>43747</v>
      </c>
      <c r="F2" s="403">
        <v>43778</v>
      </c>
      <c r="G2" s="403">
        <v>43808</v>
      </c>
      <c r="H2" s="403">
        <v>43839</v>
      </c>
      <c r="I2" s="403">
        <v>43870</v>
      </c>
      <c r="J2" s="403">
        <v>43899</v>
      </c>
      <c r="K2" s="403">
        <v>43930</v>
      </c>
      <c r="L2" s="403">
        <v>43960</v>
      </c>
      <c r="M2" s="403">
        <v>43991</v>
      </c>
      <c r="N2" s="937"/>
      <c r="O2" s="937"/>
    </row>
    <row r="3" spans="1:15" x14ac:dyDescent="0.25">
      <c r="A3" s="398" t="s">
        <v>235</v>
      </c>
      <c r="B3" s="407">
        <f>'Qtrly''s-Cntsht Book'!D21</f>
        <v>239.78</v>
      </c>
      <c r="C3" s="407">
        <f>'Qtrly''s-Cntsht Book'!E21</f>
        <v>239.77</v>
      </c>
      <c r="D3" s="407">
        <f>'Qtrly''s-Cntsht Book'!F21</f>
        <v>240.8</v>
      </c>
      <c r="E3" s="407">
        <f>'Qtrly''s-Cntsht Book'!I21</f>
        <v>239.29</v>
      </c>
      <c r="F3" s="407">
        <f>'Qtrly''s-Cntsht Book'!J21</f>
        <v>201.73</v>
      </c>
      <c r="G3" s="407">
        <f>'Qtrly''s-Cntsht Book'!K21</f>
        <v>201.73</v>
      </c>
      <c r="H3" s="407">
        <f>'Qtrly''s-Cntsht Book'!N21</f>
        <v>248.16</v>
      </c>
      <c r="I3" s="407">
        <f>'Qtrly''s-Cntsht Book'!O21</f>
        <v>270.89999999999998</v>
      </c>
      <c r="J3" s="407">
        <f>'Qtrly''s-Cntsht Book'!P21</f>
        <v>259.70999999999998</v>
      </c>
      <c r="K3" s="407">
        <f>'Qtrly''s-Cntsht Book'!S21</f>
        <v>267.89999999999998</v>
      </c>
      <c r="L3" s="407">
        <f>'Qtrly''s-Cntsht Book'!T21</f>
        <v>268.87</v>
      </c>
      <c r="M3" s="407">
        <f>'Qtrly''s-Cntsht Book'!U21</f>
        <v>275.37</v>
      </c>
      <c r="N3" s="404">
        <f>SUM(B3:M3)/12</f>
        <v>246.16749999999999</v>
      </c>
      <c r="O3" s="405">
        <f>'Qtrly''s-Cntsht Book'!Y21</f>
        <v>90097.304999999993</v>
      </c>
    </row>
    <row r="5" spans="1:15" ht="15.75" thickBot="1" x14ac:dyDescent="0.3"/>
    <row r="6" spans="1:15" ht="31.5" customHeight="1" thickBot="1" x14ac:dyDescent="0.3">
      <c r="A6" s="401" t="s">
        <v>219</v>
      </c>
      <c r="B6" s="939" t="s">
        <v>777</v>
      </c>
      <c r="C6" s="940"/>
      <c r="D6" s="940"/>
      <c r="E6" s="940"/>
      <c r="F6" s="940"/>
      <c r="G6" s="940"/>
      <c r="H6" s="940"/>
      <c r="I6" s="940"/>
      <c r="J6" s="940"/>
      <c r="K6" s="940"/>
      <c r="L6" s="940"/>
      <c r="M6" s="941"/>
      <c r="N6" s="936" t="s">
        <v>236</v>
      </c>
      <c r="O6" s="938" t="s">
        <v>237</v>
      </c>
    </row>
    <row r="7" spans="1:15" ht="15.75" thickBot="1" x14ac:dyDescent="0.3">
      <c r="A7" s="402"/>
      <c r="B7" s="403">
        <v>43290</v>
      </c>
      <c r="C7" s="403">
        <v>43321</v>
      </c>
      <c r="D7" s="403">
        <v>43352</v>
      </c>
      <c r="E7" s="403">
        <v>43382</v>
      </c>
      <c r="F7" s="403">
        <v>43413</v>
      </c>
      <c r="G7" s="403">
        <v>43443</v>
      </c>
      <c r="H7" s="403">
        <v>43474</v>
      </c>
      <c r="I7" s="403">
        <v>43505</v>
      </c>
      <c r="J7" s="403">
        <v>43533</v>
      </c>
      <c r="K7" s="403">
        <v>43564</v>
      </c>
      <c r="L7" s="403">
        <v>43594</v>
      </c>
      <c r="M7" s="403">
        <v>43625</v>
      </c>
      <c r="N7" s="937"/>
      <c r="O7" s="937"/>
    </row>
    <row r="8" spans="1:15" x14ac:dyDescent="0.25">
      <c r="A8" s="398" t="s">
        <v>235</v>
      </c>
      <c r="B8" s="407">
        <f>'Qtrly''s-Cntsht Book'!D53</f>
        <v>298.29000000000002</v>
      </c>
      <c r="C8" s="407">
        <f>'Qtrly''s-Cntsht Book'!E53</f>
        <v>300.64999999999998</v>
      </c>
      <c r="D8" s="407">
        <f>'Qtrly''s-Cntsht Book'!F53</f>
        <v>294.33</v>
      </c>
      <c r="E8" s="407">
        <f>'Qtrly''s-Cntsht Book'!I53</f>
        <v>275.93</v>
      </c>
      <c r="F8" s="407">
        <f>'Qtrly''s-Cntsht Book'!J53</f>
        <v>275.94</v>
      </c>
      <c r="G8" s="407">
        <f>'Qtrly''s-Cntsht Book'!K53</f>
        <v>246.87</v>
      </c>
      <c r="H8" s="407">
        <f>'Qtrly''s-Cntsht Book'!N53</f>
        <v>221.19</v>
      </c>
      <c r="I8" s="407">
        <f>'Qtrly''s-Cntsht Book'!O53</f>
        <v>236.5</v>
      </c>
      <c r="J8" s="407">
        <f>'Qtrly''s-Cntsht Book'!P53</f>
        <v>252</v>
      </c>
      <c r="K8" s="407">
        <f>'Qtrly''s-Cntsht Book'!S53</f>
        <v>236.93</v>
      </c>
      <c r="L8" s="407">
        <f>'Qtrly''s-Cntsht Book'!T53</f>
        <v>240.61</v>
      </c>
      <c r="M8" s="407">
        <f>'Qtrly''s-Cntsht Book'!U53</f>
        <v>249.83</v>
      </c>
      <c r="N8" s="404">
        <f>SUM(B8:M8)/12</f>
        <v>260.75583333333333</v>
      </c>
      <c r="O8" s="405">
        <f>'Qtrly''s-Cntsht Book'!Y53</f>
        <v>95175.879166666666</v>
      </c>
    </row>
    <row r="9" spans="1:15" x14ac:dyDescent="0.25">
      <c r="A9" s="406"/>
      <c r="B9" s="750"/>
      <c r="C9" s="750"/>
      <c r="D9" s="750"/>
      <c r="E9" s="750"/>
      <c r="F9" s="750"/>
      <c r="G9" s="750"/>
      <c r="H9" s="750"/>
      <c r="I9" s="750"/>
      <c r="J9" s="750"/>
      <c r="K9" s="750"/>
      <c r="L9" s="750"/>
      <c r="M9" s="750"/>
      <c r="N9" s="750"/>
      <c r="O9" s="751"/>
    </row>
    <row r="10" spans="1:15" ht="15.75" thickBot="1" x14ac:dyDescent="0.3">
      <c r="A10" s="406"/>
      <c r="B10" s="750"/>
      <c r="C10" s="750"/>
      <c r="D10" s="750"/>
      <c r="E10" s="750"/>
      <c r="F10" s="750"/>
      <c r="G10" s="750"/>
      <c r="H10" s="750"/>
      <c r="I10" s="750"/>
      <c r="J10" s="750"/>
      <c r="K10" s="750"/>
      <c r="L10" s="750"/>
      <c r="M10" s="750"/>
      <c r="N10" s="750"/>
      <c r="O10" s="751"/>
    </row>
    <row r="11" spans="1:15" ht="31.5" customHeight="1" thickBot="1" x14ac:dyDescent="0.3">
      <c r="A11" s="401" t="s">
        <v>219</v>
      </c>
      <c r="B11" s="933" t="s">
        <v>680</v>
      </c>
      <c r="C11" s="934"/>
      <c r="D11" s="934"/>
      <c r="E11" s="934"/>
      <c r="F11" s="934"/>
      <c r="G11" s="934"/>
      <c r="H11" s="934"/>
      <c r="I11" s="934"/>
      <c r="J11" s="934"/>
      <c r="K11" s="934"/>
      <c r="L11" s="934"/>
      <c r="M11" s="935"/>
      <c r="N11" s="936" t="s">
        <v>236</v>
      </c>
      <c r="O11" s="938" t="s">
        <v>237</v>
      </c>
    </row>
    <row r="12" spans="1:15" ht="15.75" thickBot="1" x14ac:dyDescent="0.3">
      <c r="A12" s="402"/>
      <c r="B12" s="403">
        <v>42925</v>
      </c>
      <c r="C12" s="403">
        <v>42956</v>
      </c>
      <c r="D12" s="403">
        <v>42987</v>
      </c>
      <c r="E12" s="403">
        <v>43017</v>
      </c>
      <c r="F12" s="403">
        <v>43048</v>
      </c>
      <c r="G12" s="403">
        <v>43078</v>
      </c>
      <c r="H12" s="403">
        <v>43109</v>
      </c>
      <c r="I12" s="403">
        <v>43140</v>
      </c>
      <c r="J12" s="403">
        <v>43168</v>
      </c>
      <c r="K12" s="403">
        <v>43199</v>
      </c>
      <c r="L12" s="403">
        <v>43229</v>
      </c>
      <c r="M12" s="403">
        <v>43260</v>
      </c>
      <c r="N12" s="937"/>
      <c r="O12" s="937"/>
    </row>
    <row r="13" spans="1:15" x14ac:dyDescent="0.25">
      <c r="A13" s="398" t="s">
        <v>235</v>
      </c>
      <c r="B13" s="407">
        <f>'Qtrly''s-Cntsht Book'!D84</f>
        <v>369.55</v>
      </c>
      <c r="C13" s="407">
        <f>'Qtrly''s-Cntsht Book'!E84</f>
        <v>363.84</v>
      </c>
      <c r="D13" s="407">
        <f>'Qtrly''s-Cntsht Book'!F84</f>
        <v>360.67</v>
      </c>
      <c r="E13" s="407">
        <f>'Qtrly''s-Cntsht Book'!I84</f>
        <v>343.19</v>
      </c>
      <c r="F13" s="407">
        <f>'Qtrly''s-Cntsht Book'!J84</f>
        <v>316.89999999999998</v>
      </c>
      <c r="G13" s="407">
        <f>'Qtrly''s-Cntsht Book'!K84</f>
        <v>295.35000000000002</v>
      </c>
      <c r="H13" s="407">
        <f>'Qtrly''s-Cntsht Book'!N84</f>
        <v>265.35000000000002</v>
      </c>
      <c r="I13" s="407">
        <f>'Qtrly''s-Cntsht Book'!O84</f>
        <v>317.61</v>
      </c>
      <c r="J13" s="407">
        <f>'Qtrly''s-Cntsht Book'!P84</f>
        <v>322.52</v>
      </c>
      <c r="K13" s="407">
        <f>'Qtrly''s-Cntsht Book'!S84</f>
        <v>304.60000000000002</v>
      </c>
      <c r="L13" s="407">
        <f>'Qtrly''s-Cntsht Book'!T84</f>
        <v>286.19</v>
      </c>
      <c r="M13" s="407">
        <f>'Qtrly''s-Cntsht Book'!U84</f>
        <v>286.19</v>
      </c>
      <c r="N13" s="404">
        <f>SUM(B13:M13)/12</f>
        <v>319.33</v>
      </c>
      <c r="O13" s="405">
        <f>'Qtrly''s-Cntsht Book'!Y84</f>
        <v>116555.45</v>
      </c>
    </row>
    <row r="14" spans="1:15" x14ac:dyDescent="0.25">
      <c r="A14" s="766"/>
      <c r="B14" s="767"/>
      <c r="C14" s="767"/>
      <c r="D14" s="767"/>
      <c r="E14" s="767"/>
      <c r="F14" s="767"/>
      <c r="G14" s="767"/>
      <c r="H14" s="767"/>
      <c r="I14" s="767"/>
      <c r="J14" s="767"/>
      <c r="K14" s="767"/>
      <c r="L14" s="767"/>
      <c r="M14" s="767"/>
      <c r="N14" s="767"/>
      <c r="O14" s="768"/>
    </row>
  </sheetData>
  <mergeCells count="9">
    <mergeCell ref="B11:M11"/>
    <mergeCell ref="N11:N12"/>
    <mergeCell ref="O11:O12"/>
    <mergeCell ref="B1:M1"/>
    <mergeCell ref="N1:N2"/>
    <mergeCell ref="O1:O2"/>
    <mergeCell ref="B6:M6"/>
    <mergeCell ref="N6:N7"/>
    <mergeCell ref="O6:O7"/>
  </mergeCells>
  <phoneticPr fontId="21" type="noConversion"/>
  <printOptions horizontalCentered="1"/>
  <pageMargins left="0" right="0" top="1.25" bottom="0.75" header="0.3" footer="0.3"/>
  <pageSetup scale="91" fitToHeight="0" orientation="landscape" r:id="rId1"/>
  <headerFooter alignWithMargins="0">
    <oddHeader>&amp;C&amp;"Arial,Bold"&amp;12DEPARTMENT OF CORRECTIONS
 COST OF CARE Year 2021
(Based on Fiscal Year 2020 Actuals)</oddHeader>
    <oddFooter>&amp;L&amp;8&amp;F &amp;A&amp;R&amp;8&amp;D &amp;T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59999389629810485"/>
  </sheetPr>
  <dimension ref="A1:BD39"/>
  <sheetViews>
    <sheetView showGridLines="0" zoomScaleNormal="100" workbookViewId="0">
      <pane xSplit="23" ySplit="1" topLeftCell="AV2" activePane="bottomRight" state="frozen"/>
      <selection activeCell="B17" sqref="B17:M17"/>
      <selection pane="topRight" activeCell="B17" sqref="B17:M17"/>
      <selection pane="bottomLeft" activeCell="B17" sqref="B17:M17"/>
      <selection pane="bottomRight" activeCell="AY26" sqref="AY26"/>
    </sheetView>
  </sheetViews>
  <sheetFormatPr defaultRowHeight="12.75" x14ac:dyDescent="0.2"/>
  <cols>
    <col min="1" max="1" width="18.85546875" customWidth="1"/>
    <col min="2" max="2" width="14.85546875" hidden="1" customWidth="1"/>
    <col min="3" max="4" width="0" hidden="1" customWidth="1"/>
    <col min="5" max="5" width="3.5703125" hidden="1" customWidth="1"/>
    <col min="6" max="6" width="14.85546875" hidden="1" customWidth="1"/>
    <col min="7" max="7" width="0" hidden="1" customWidth="1"/>
    <col min="8" max="8" width="9.7109375" hidden="1" customWidth="1"/>
    <col min="9" max="9" width="15.28515625" hidden="1" customWidth="1"/>
    <col min="10" max="11" width="0" hidden="1" customWidth="1"/>
    <col min="12" max="12" width="16" hidden="1" customWidth="1"/>
    <col min="13" max="14" width="0" hidden="1" customWidth="1"/>
    <col min="15" max="15" width="16" hidden="1" customWidth="1"/>
    <col min="16" max="17" width="0" hidden="1" customWidth="1"/>
    <col min="18" max="18" width="16" hidden="1" customWidth="1"/>
    <col min="19" max="20" width="0" hidden="1" customWidth="1"/>
    <col min="21" max="21" width="16" hidden="1" customWidth="1"/>
    <col min="22" max="23" width="0" hidden="1" customWidth="1"/>
    <col min="24" max="24" width="16" hidden="1" customWidth="1"/>
    <col min="25" max="26" width="0" hidden="1" customWidth="1"/>
    <col min="27" max="27" width="16.42578125" hidden="1" customWidth="1"/>
    <col min="28" max="29" width="0" hidden="1" customWidth="1"/>
    <col min="30" max="30" width="16.42578125" hidden="1" customWidth="1"/>
    <col min="31" max="31" width="9.7109375" hidden="1" customWidth="1"/>
    <col min="32" max="32" width="0" hidden="1" customWidth="1"/>
    <col min="33" max="33" width="15.28515625" hidden="1" customWidth="1"/>
    <col min="34" max="34" width="11.85546875" hidden="1" customWidth="1"/>
    <col min="35" max="35" width="0" hidden="1" customWidth="1"/>
    <col min="36" max="36" width="15.7109375" hidden="1" customWidth="1"/>
    <col min="37" max="37" width="9.7109375" hidden="1" customWidth="1"/>
    <col min="38" max="38" width="0" hidden="1" customWidth="1"/>
    <col min="39" max="39" width="16.7109375" hidden="1" customWidth="1"/>
    <col min="40" max="40" width="9.7109375" hidden="1" customWidth="1"/>
    <col min="41" max="41" width="10.28515625" hidden="1" customWidth="1"/>
    <col min="42" max="42" width="16.7109375" customWidth="1"/>
    <col min="43" max="44" width="11.28515625" customWidth="1"/>
    <col min="45" max="45" width="16.7109375" customWidth="1"/>
    <col min="46" max="46" width="10.7109375" customWidth="1"/>
    <col min="47" max="47" width="10.28515625" customWidth="1"/>
    <col min="48" max="48" width="16.7109375" customWidth="1"/>
    <col min="49" max="49" width="10.7109375" customWidth="1"/>
    <col min="50" max="50" width="10.28515625" customWidth="1"/>
    <col min="51" max="51" width="16.7109375" customWidth="1"/>
    <col min="52" max="52" width="10.7109375" customWidth="1"/>
    <col min="53" max="53" width="10.28515625" customWidth="1"/>
    <col min="54" max="54" width="16.7109375" customWidth="1"/>
    <col min="55" max="55" width="10.7109375" customWidth="1"/>
    <col min="56" max="56" width="10.28515625" customWidth="1"/>
  </cols>
  <sheetData>
    <row r="1" spans="1:56" ht="14.25" thickTop="1" thickBot="1" x14ac:dyDescent="0.25">
      <c r="A1" s="88" t="s">
        <v>55</v>
      </c>
      <c r="B1" s="98" t="s">
        <v>287</v>
      </c>
      <c r="C1" s="2" t="s">
        <v>94</v>
      </c>
      <c r="D1" s="2" t="s">
        <v>26</v>
      </c>
      <c r="E1" s="21"/>
      <c r="F1" s="98" t="s">
        <v>288</v>
      </c>
      <c r="G1" s="2" t="s">
        <v>94</v>
      </c>
      <c r="H1" s="2" t="s">
        <v>26</v>
      </c>
      <c r="I1" s="98" t="s">
        <v>289</v>
      </c>
      <c r="J1" s="2" t="s">
        <v>94</v>
      </c>
      <c r="K1" s="2" t="s">
        <v>26</v>
      </c>
      <c r="L1" s="98" t="s">
        <v>290</v>
      </c>
      <c r="M1" s="2" t="s">
        <v>94</v>
      </c>
      <c r="N1" s="2" t="s">
        <v>26</v>
      </c>
      <c r="O1" s="98" t="s">
        <v>291</v>
      </c>
      <c r="P1" s="2" t="s">
        <v>94</v>
      </c>
      <c r="Q1" s="2" t="s">
        <v>26</v>
      </c>
      <c r="R1" s="98" t="s">
        <v>292</v>
      </c>
      <c r="S1" s="2" t="s">
        <v>94</v>
      </c>
      <c r="T1" s="2" t="s">
        <v>26</v>
      </c>
      <c r="U1" s="98" t="s">
        <v>293</v>
      </c>
      <c r="V1" s="2" t="s">
        <v>94</v>
      </c>
      <c r="W1" s="88" t="s">
        <v>26</v>
      </c>
      <c r="X1" s="99" t="s">
        <v>294</v>
      </c>
      <c r="Y1" s="92" t="s">
        <v>94</v>
      </c>
      <c r="Z1" s="423" t="s">
        <v>26</v>
      </c>
      <c r="AA1" s="98" t="s">
        <v>295</v>
      </c>
      <c r="AB1" s="2" t="s">
        <v>94</v>
      </c>
      <c r="AC1" s="2" t="s">
        <v>26</v>
      </c>
      <c r="AD1" s="100" t="s">
        <v>296</v>
      </c>
      <c r="AE1" s="2" t="s">
        <v>94</v>
      </c>
      <c r="AF1" s="2" t="s">
        <v>26</v>
      </c>
      <c r="AG1" s="100" t="s">
        <v>297</v>
      </c>
      <c r="AH1" s="2" t="s">
        <v>94</v>
      </c>
      <c r="AI1" s="2" t="s">
        <v>26</v>
      </c>
      <c r="AJ1" s="426" t="s">
        <v>395</v>
      </c>
      <c r="AK1" s="2" t="s">
        <v>94</v>
      </c>
      <c r="AL1" s="2" t="s">
        <v>26</v>
      </c>
      <c r="AM1" s="426" t="s">
        <v>440</v>
      </c>
      <c r="AN1" s="2" t="s">
        <v>94</v>
      </c>
      <c r="AO1" s="2" t="s">
        <v>26</v>
      </c>
      <c r="AP1" s="753" t="s">
        <v>672</v>
      </c>
      <c r="AQ1" s="2" t="s">
        <v>94</v>
      </c>
      <c r="AR1" s="2" t="s">
        <v>26</v>
      </c>
      <c r="AS1" s="753" t="s">
        <v>673</v>
      </c>
      <c r="AT1" s="2" t="s">
        <v>94</v>
      </c>
      <c r="AU1" s="2" t="s">
        <v>26</v>
      </c>
      <c r="AV1" s="753" t="s">
        <v>677</v>
      </c>
      <c r="AW1" s="2" t="s">
        <v>94</v>
      </c>
      <c r="AX1" s="2" t="s">
        <v>26</v>
      </c>
      <c r="AY1" s="753" t="s">
        <v>778</v>
      </c>
      <c r="AZ1" s="2" t="s">
        <v>94</v>
      </c>
      <c r="BA1" s="2" t="s">
        <v>26</v>
      </c>
      <c r="BB1" s="752" t="s">
        <v>793</v>
      </c>
      <c r="BC1" s="2" t="s">
        <v>94</v>
      </c>
      <c r="BD1" s="2" t="s">
        <v>26</v>
      </c>
    </row>
    <row r="2" spans="1:56" ht="14.25" thickTop="1" thickBot="1" x14ac:dyDescent="0.25">
      <c r="A2" s="428" t="s">
        <v>243</v>
      </c>
      <c r="B2" s="18">
        <v>4207448.53</v>
      </c>
      <c r="C2" s="19">
        <v>26754.5</v>
      </c>
      <c r="D2" s="20">
        <v>193.50880347742341</v>
      </c>
      <c r="E2" s="10"/>
      <c r="F2" s="18">
        <v>10007491.050000001</v>
      </c>
      <c r="G2" s="19">
        <v>144625.56208333332</v>
      </c>
      <c r="H2" s="20">
        <v>106.85322352658358</v>
      </c>
      <c r="I2" s="18">
        <v>10007491.050000001</v>
      </c>
      <c r="J2" s="19">
        <v>144540</v>
      </c>
      <c r="K2" s="20">
        <v>105.90031510045782</v>
      </c>
      <c r="L2" s="18">
        <v>19164084.239999998</v>
      </c>
      <c r="M2" s="19">
        <v>297558</v>
      </c>
      <c r="N2" s="20">
        <v>99.915961578315503</v>
      </c>
      <c r="O2" s="18">
        <v>19934908.759999998</v>
      </c>
      <c r="P2" s="19">
        <v>305007.3833333333</v>
      </c>
      <c r="Q2" s="20">
        <v>95.644881509254517</v>
      </c>
      <c r="R2" s="18">
        <v>22246649.32</v>
      </c>
      <c r="S2" s="19">
        <v>318750.84999999998</v>
      </c>
      <c r="T2" s="20">
        <v>111.08690690417147</v>
      </c>
      <c r="U2" s="18">
        <v>24224260.27</v>
      </c>
      <c r="V2" s="19">
        <v>353157</v>
      </c>
      <c r="W2" s="91">
        <v>109.64</v>
      </c>
      <c r="X2" s="93">
        <v>24473571.319999997</v>
      </c>
      <c r="Y2" s="19">
        <v>356416</v>
      </c>
      <c r="Z2" s="91">
        <v>109.02</v>
      </c>
      <c r="AA2" s="18">
        <v>24826079.379999999</v>
      </c>
      <c r="AB2" s="19">
        <v>311948</v>
      </c>
      <c r="AC2" s="20">
        <v>79.584031248797871</v>
      </c>
      <c r="AD2" s="101">
        <v>25829994.579999998</v>
      </c>
      <c r="AE2" s="19" t="e">
        <f>'Qtrly''s-Cntsht Book'!#REF!+'Qtrly''s-Cntsht Book'!#REF!</f>
        <v>#REF!</v>
      </c>
      <c r="AF2" s="20" t="e">
        <f>AD2/AE2</f>
        <v>#REF!</v>
      </c>
      <c r="AG2" s="101">
        <v>26198323.199999999</v>
      </c>
      <c r="AH2" s="19" t="e">
        <f>'Qtrly''s-Cntsht Book'!#REF!+'Qtrly''s-Cntsht Book'!#REF!</f>
        <v>#REF!</v>
      </c>
      <c r="AI2" s="20" t="e">
        <f>AG2/AH2</f>
        <v>#REF!</v>
      </c>
      <c r="AJ2" s="101">
        <v>28150656.219999999</v>
      </c>
      <c r="AK2" s="19" t="e">
        <f>'Qtrly''s-Cntsht Book'!#REF!+'Qtrly''s-Cntsht Book'!#REF!</f>
        <v>#REF!</v>
      </c>
      <c r="AL2" s="458" t="e">
        <f>AJ2/AK2</f>
        <v>#REF!</v>
      </c>
      <c r="AM2" s="302">
        <v>29509516.810000002</v>
      </c>
      <c r="AN2" s="379">
        <v>322976.94166666665</v>
      </c>
      <c r="AO2" s="458">
        <f>AM2/AN2</f>
        <v>91.367255686183796</v>
      </c>
      <c r="AP2" s="663">
        <v>30526127.900000002</v>
      </c>
      <c r="AQ2" s="756">
        <v>301420.04166666669</v>
      </c>
      <c r="AR2" s="757">
        <f>AP2/AQ2</f>
        <v>101.27438020116169</v>
      </c>
      <c r="AS2" s="758">
        <v>31581253.699999999</v>
      </c>
      <c r="AT2" s="759">
        <v>313486</v>
      </c>
      <c r="AU2" s="757">
        <f>AS2/AT2</f>
        <v>100.74215020766478</v>
      </c>
      <c r="AV2" s="758">
        <v>32570126</v>
      </c>
      <c r="AW2" s="759">
        <v>310268</v>
      </c>
      <c r="AX2" s="757">
        <f>AV2/AW2</f>
        <v>104.9741707169286</v>
      </c>
      <c r="AY2" s="760">
        <v>33571015.530000001</v>
      </c>
      <c r="AZ2" s="759">
        <v>309681.51250000001</v>
      </c>
      <c r="BA2" s="757">
        <v>108.40497147856057</v>
      </c>
      <c r="BB2" s="760">
        <f>'BILLING RATE CALC'!C26</f>
        <v>38871082.109999999</v>
      </c>
      <c r="BC2" s="759">
        <f>'BILLING RATE CALC'!D26</f>
        <v>320939.29999999993</v>
      </c>
      <c r="BD2" s="757">
        <f>BB2/BC2</f>
        <v>121.11661647545192</v>
      </c>
    </row>
    <row r="3" spans="1:56" ht="13.5" thickTop="1" x14ac:dyDescent="0.2">
      <c r="A3" s="428" t="s">
        <v>780</v>
      </c>
      <c r="B3" s="12">
        <v>3827124.93</v>
      </c>
      <c r="C3" s="13">
        <v>36429.524583333339</v>
      </c>
      <c r="D3" s="14">
        <v>141.30304577116476</v>
      </c>
      <c r="E3" s="1"/>
      <c r="F3" s="12">
        <v>3827124.93</v>
      </c>
      <c r="G3" s="13">
        <v>38165.586250000008</v>
      </c>
      <c r="H3" s="14">
        <v>137.93421153467364</v>
      </c>
      <c r="I3" s="12">
        <v>4077113.6330000004</v>
      </c>
      <c r="J3" s="13">
        <v>38325</v>
      </c>
      <c r="K3" s="14">
        <v>143.04610031186741</v>
      </c>
      <c r="L3" s="12">
        <v>4022696.32</v>
      </c>
      <c r="M3" s="13">
        <v>39162</v>
      </c>
      <c r="N3" s="14">
        <v>138.23080686379916</v>
      </c>
      <c r="O3" s="12">
        <v>4453361.75</v>
      </c>
      <c r="P3" s="13">
        <v>40348.316666666666</v>
      </c>
      <c r="Q3" s="14">
        <v>140.6590326138257</v>
      </c>
      <c r="R3" s="12">
        <v>4921141.88</v>
      </c>
      <c r="S3" s="13">
        <v>42362.63</v>
      </c>
      <c r="T3" s="14">
        <v>157.46073628350271</v>
      </c>
      <c r="U3" s="12">
        <v>5054874.07</v>
      </c>
      <c r="V3" s="13">
        <v>38831</v>
      </c>
      <c r="W3" s="87">
        <v>171.22</v>
      </c>
      <c r="X3" s="93">
        <v>5023661.03</v>
      </c>
      <c r="Y3" s="13">
        <v>42158</v>
      </c>
      <c r="Z3" s="87">
        <v>159.51</v>
      </c>
      <c r="AA3" s="12">
        <v>5044648.83</v>
      </c>
      <c r="AB3" s="13">
        <v>49993</v>
      </c>
      <c r="AC3" s="20">
        <v>100.90710359450323</v>
      </c>
      <c r="AD3" s="102">
        <v>5649294.0899999999</v>
      </c>
      <c r="AE3" s="13" t="e">
        <f>'Qtrly''s-Cntsht Book'!#REF!</f>
        <v>#REF!</v>
      </c>
      <c r="AF3" s="20" t="e">
        <f>AD3/AE3</f>
        <v>#REF!</v>
      </c>
      <c r="AG3" s="102">
        <v>5244350.93</v>
      </c>
      <c r="AH3" s="13" t="e">
        <f>'Qtrly''s-Cntsht Book'!#REF!</f>
        <v>#REF!</v>
      </c>
      <c r="AI3" s="20" t="e">
        <f>AG3/AH3</f>
        <v>#REF!</v>
      </c>
      <c r="AJ3" s="102">
        <v>6006266.8099999996</v>
      </c>
      <c r="AK3" s="13" t="e">
        <f>'Qtrly''s-Cntsht Book'!#REF!</f>
        <v>#REF!</v>
      </c>
      <c r="AL3" s="20" t="e">
        <f>AJ3/AK3</f>
        <v>#REF!</v>
      </c>
      <c r="AM3" s="302">
        <v>6689614.8499999996</v>
      </c>
      <c r="AN3" s="459">
        <v>44782.458333333328</v>
      </c>
      <c r="AO3" s="458">
        <f>AM3/AN3</f>
        <v>149.38025063757294</v>
      </c>
      <c r="AP3" s="663">
        <v>6451550.9900000002</v>
      </c>
      <c r="AQ3" s="761">
        <v>40615.375</v>
      </c>
      <c r="AR3" s="14">
        <f>AP3/AQ3</f>
        <v>158.84504304096663</v>
      </c>
      <c r="AS3" s="102">
        <v>6266794.3200000003</v>
      </c>
      <c r="AT3" s="383">
        <v>37881</v>
      </c>
      <c r="AU3" s="14">
        <f>AS3/AT3</f>
        <v>165.43370871941079</v>
      </c>
      <c r="AV3" s="102">
        <v>6919676.3600000003</v>
      </c>
      <c r="AW3" s="383">
        <v>45400</v>
      </c>
      <c r="AX3" s="14">
        <f>AV3/AW3</f>
        <v>152.41577885462556</v>
      </c>
      <c r="AY3" s="12">
        <v>7043154.0499999998</v>
      </c>
      <c r="AZ3" s="383">
        <v>47985.333333333336</v>
      </c>
      <c r="BA3" s="14">
        <v>146.77722463808385</v>
      </c>
      <c r="BB3" s="12">
        <f>'BILLING RATE CALC'!C27</f>
        <v>7218523.8799999999</v>
      </c>
      <c r="BC3" s="383">
        <f>'BILLING RATE CALC'!D27</f>
        <v>45258.950000000004</v>
      </c>
      <c r="BD3" s="14">
        <f>BB3/BC3</f>
        <v>159.49384331717812</v>
      </c>
    </row>
    <row r="4" spans="1:56" x14ac:dyDescent="0.2">
      <c r="A4" s="1" t="s">
        <v>24</v>
      </c>
      <c r="B4" s="12">
        <v>6843374.9000000004</v>
      </c>
      <c r="C4" s="13">
        <v>76108.583333333343</v>
      </c>
      <c r="D4" s="14">
        <v>126.16340429202303</v>
      </c>
      <c r="E4" s="1"/>
      <c r="F4" s="12">
        <v>7166991.0900000008</v>
      </c>
      <c r="G4" s="13">
        <v>76595.645416666666</v>
      </c>
      <c r="H4" s="14">
        <v>131.22652888085605</v>
      </c>
      <c r="I4" s="12">
        <v>7295965.2699999996</v>
      </c>
      <c r="J4" s="13">
        <v>78110</v>
      </c>
      <c r="K4" s="14">
        <v>130.06942554724256</v>
      </c>
      <c r="L4" s="12">
        <v>7181710.9500000002</v>
      </c>
      <c r="M4" s="13">
        <v>77958</v>
      </c>
      <c r="N4" s="14">
        <v>127.63424977806429</v>
      </c>
      <c r="O4" s="12">
        <v>8221892.419999999</v>
      </c>
      <c r="P4" s="13">
        <v>81829.350000000006</v>
      </c>
      <c r="Q4" s="14">
        <v>130.76218836079624</v>
      </c>
      <c r="R4" s="12">
        <v>8758697.8399999999</v>
      </c>
      <c r="S4" s="13">
        <v>103600.07916666666</v>
      </c>
      <c r="T4" s="14">
        <v>125.83703422768252</v>
      </c>
      <c r="U4" s="12">
        <v>10231800.85</v>
      </c>
      <c r="V4" s="13">
        <v>101283</v>
      </c>
      <c r="W4" s="87">
        <v>142.06</v>
      </c>
      <c r="X4" s="94">
        <v>10195355.860000001</v>
      </c>
      <c r="Y4" s="13">
        <v>109736</v>
      </c>
      <c r="Z4" s="87">
        <v>133.26</v>
      </c>
      <c r="AA4" s="12">
        <v>9743300.9699999988</v>
      </c>
      <c r="AB4" s="13">
        <v>94790</v>
      </c>
      <c r="AC4" s="20">
        <v>102.78827903787318</v>
      </c>
      <c r="AD4" s="102">
        <v>10284011.460000001</v>
      </c>
      <c r="AE4" s="13" t="e">
        <f>'Qtrly''s-Cntsht Book'!#REF!</f>
        <v>#REF!</v>
      </c>
      <c r="AF4" s="20" t="e">
        <f>AD4/AE4</f>
        <v>#REF!</v>
      </c>
      <c r="AG4" s="102">
        <v>10008008.4</v>
      </c>
      <c r="AH4" s="13" t="e">
        <f>'Qtrly''s-Cntsht Book'!#REF!</f>
        <v>#REF!</v>
      </c>
      <c r="AI4" s="20" t="e">
        <f t="shared" ref="AI4:AI11" si="0">AG4/AH4</f>
        <v>#REF!</v>
      </c>
      <c r="AJ4" s="102">
        <v>11263994.27</v>
      </c>
      <c r="AK4" s="13" t="e">
        <f>'Qtrly''s-Cntsht Book'!#REF!</f>
        <v>#REF!</v>
      </c>
      <c r="AL4" s="20" t="e">
        <f t="shared" ref="AL4:AL11" si="1">AJ4/AK4</f>
        <v>#REF!</v>
      </c>
      <c r="AM4" s="302">
        <v>11577121.589999998</v>
      </c>
      <c r="AN4" s="383">
        <v>100018.51666666668</v>
      </c>
      <c r="AO4" s="20">
        <f>AM4/AN4</f>
        <v>115.74978289853325</v>
      </c>
      <c r="AP4" s="664">
        <v>11556642.350000001</v>
      </c>
      <c r="AQ4" s="668">
        <v>98918.041666666686</v>
      </c>
      <c r="AR4" s="20">
        <f>AP4/AQ4</f>
        <v>116.83048062095176</v>
      </c>
      <c r="AS4" s="102">
        <v>12114212.68</v>
      </c>
      <c r="AT4" s="459">
        <v>98109</v>
      </c>
      <c r="AU4" s="20">
        <f>AS4/AT4</f>
        <v>123.4770783516293</v>
      </c>
      <c r="AV4" s="102">
        <v>12690107.84</v>
      </c>
      <c r="AW4" s="459">
        <v>98386</v>
      </c>
      <c r="AX4" s="20">
        <f>AV4/AW4</f>
        <v>128.98286178927896</v>
      </c>
      <c r="AY4" s="12">
        <v>12994397.160000002</v>
      </c>
      <c r="AZ4" s="459">
        <v>95268.041666666657</v>
      </c>
      <c r="BA4" s="20">
        <v>136.39828144537805</v>
      </c>
      <c r="BB4" s="12">
        <f>'BILLING RATE CALC'!C28</f>
        <v>14468136.370000001</v>
      </c>
      <c r="BC4" s="459">
        <f>'BILLING RATE CALC'!D28</f>
        <v>100363.29999999999</v>
      </c>
      <c r="BD4" s="20">
        <f>BB4/BC4</f>
        <v>144.15763899752204</v>
      </c>
    </row>
    <row r="5" spans="1:56" x14ac:dyDescent="0.2">
      <c r="A5" s="428" t="s">
        <v>374</v>
      </c>
      <c r="B5" s="12"/>
      <c r="C5" s="13"/>
      <c r="D5" s="14"/>
      <c r="E5" s="1"/>
      <c r="F5" s="12"/>
      <c r="G5" s="13"/>
      <c r="H5" s="14"/>
      <c r="I5" s="12"/>
      <c r="J5" s="13"/>
      <c r="K5" s="14"/>
      <c r="L5" s="12"/>
      <c r="M5" s="13"/>
      <c r="N5" s="14"/>
      <c r="O5" s="12"/>
      <c r="P5" s="13"/>
      <c r="Q5" s="14"/>
      <c r="R5" s="12"/>
      <c r="S5" s="13"/>
      <c r="T5" s="14"/>
      <c r="U5" s="429" t="s">
        <v>396</v>
      </c>
      <c r="V5" s="13"/>
      <c r="W5" s="87"/>
      <c r="X5" s="94" t="s">
        <v>242</v>
      </c>
      <c r="Y5" s="94" t="s">
        <v>242</v>
      </c>
      <c r="Z5" s="94" t="s">
        <v>242</v>
      </c>
      <c r="AA5" s="94" t="s">
        <v>242</v>
      </c>
      <c r="AB5" s="94" t="s">
        <v>242</v>
      </c>
      <c r="AC5" s="94" t="s">
        <v>242</v>
      </c>
      <c r="AD5" s="94" t="s">
        <v>242</v>
      </c>
      <c r="AE5" s="94" t="s">
        <v>242</v>
      </c>
      <c r="AF5" s="94" t="s">
        <v>242</v>
      </c>
      <c r="AG5" s="94" t="s">
        <v>242</v>
      </c>
      <c r="AH5" s="430" t="s">
        <v>397</v>
      </c>
      <c r="AI5" s="20"/>
      <c r="AJ5" s="102">
        <v>0</v>
      </c>
      <c r="AK5" s="13">
        <v>0</v>
      </c>
      <c r="AL5" s="20">
        <v>0</v>
      </c>
      <c r="AM5" s="302">
        <v>46469734.969999999</v>
      </c>
      <c r="AN5" s="383">
        <v>453733.32500000001</v>
      </c>
      <c r="AO5" s="20">
        <f t="shared" ref="AO5:AO11" si="2">AM5/AN5</f>
        <v>102.41640278460922</v>
      </c>
      <c r="AP5" s="664">
        <v>44848433.690000005</v>
      </c>
      <c r="AQ5" s="668">
        <v>459224.74999999994</v>
      </c>
      <c r="AR5" s="20">
        <f t="shared" ref="AR5:AR10" si="3">AP5/AQ5</f>
        <v>97.661185922579321</v>
      </c>
      <c r="AS5" s="102">
        <v>41672576.399999999</v>
      </c>
      <c r="AT5" s="459">
        <v>461765</v>
      </c>
      <c r="AU5" s="20">
        <f t="shared" ref="AU5:AU10" si="4">AS5/AT5</f>
        <v>90.246286314467312</v>
      </c>
      <c r="AV5" s="102">
        <v>40528059.530000001</v>
      </c>
      <c r="AW5" s="459">
        <v>486837</v>
      </c>
      <c r="AX5" s="20">
        <f t="shared" ref="AX5:AX9" si="5">AV5/AW5</f>
        <v>83.247697956400188</v>
      </c>
      <c r="AY5" s="12">
        <v>40797542.149999999</v>
      </c>
      <c r="AZ5" s="459">
        <v>481404.58333333326</v>
      </c>
      <c r="BA5" s="20">
        <v>84.746891829550862</v>
      </c>
      <c r="BB5" s="12">
        <f>'BILLING RATE CALC'!C29</f>
        <v>44271287.799999997</v>
      </c>
      <c r="BC5" s="459">
        <f>'BILLING RATE CALC'!D29</f>
        <v>493754.13</v>
      </c>
      <c r="BD5" s="20">
        <f t="shared" ref="BD5:BD9" si="6">BB5/BC5</f>
        <v>89.662617708129346</v>
      </c>
    </row>
    <row r="6" spans="1:56" x14ac:dyDescent="0.2">
      <c r="A6" s="428" t="s">
        <v>779</v>
      </c>
      <c r="B6" s="12">
        <v>7142287.0600000005</v>
      </c>
      <c r="C6" s="13">
        <v>105991.13333333335</v>
      </c>
      <c r="D6" s="14">
        <v>103.63316641167151</v>
      </c>
      <c r="E6" s="1"/>
      <c r="F6" s="12">
        <v>7299380.0100000007</v>
      </c>
      <c r="G6" s="13">
        <v>103376.09083333332</v>
      </c>
      <c r="H6" s="14">
        <v>108.26730152323337</v>
      </c>
      <c r="I6" s="12">
        <v>7299380.0100000007</v>
      </c>
      <c r="J6" s="13">
        <v>103295</v>
      </c>
      <c r="K6" s="14">
        <v>107.32851204571601</v>
      </c>
      <c r="L6" s="12">
        <v>7398555.71</v>
      </c>
      <c r="M6" s="13">
        <v>107970</v>
      </c>
      <c r="N6" s="14">
        <v>104.03560783135765</v>
      </c>
      <c r="O6" s="12">
        <v>7697246.9099999992</v>
      </c>
      <c r="P6" s="13">
        <v>113687.97958333335</v>
      </c>
      <c r="Q6" s="14">
        <v>97.991126912776693</v>
      </c>
      <c r="R6" s="12">
        <v>8564813.7899999991</v>
      </c>
      <c r="S6" s="13">
        <v>122196.67708333333</v>
      </c>
      <c r="T6" s="14">
        <v>111.38408187049444</v>
      </c>
      <c r="U6" s="12">
        <v>9796565.5199999996</v>
      </c>
      <c r="V6" s="13">
        <v>121011</v>
      </c>
      <c r="W6" s="87">
        <v>122</v>
      </c>
      <c r="X6" s="94">
        <v>9668374.5</v>
      </c>
      <c r="Y6" s="13">
        <v>140284</v>
      </c>
      <c r="Z6" s="87">
        <v>109.27</v>
      </c>
      <c r="AA6" s="12">
        <v>9905372.1500000004</v>
      </c>
      <c r="AB6" s="13">
        <v>129251</v>
      </c>
      <c r="AC6" s="20">
        <v>76.63671577009076</v>
      </c>
      <c r="AD6" s="102">
        <v>10581088.6</v>
      </c>
      <c r="AE6" s="13" t="e">
        <f>'Qtrly''s-Cntsht Book'!#REF!</f>
        <v>#REF!</v>
      </c>
      <c r="AF6" s="20" t="e">
        <f>AD6/AE6</f>
        <v>#REF!</v>
      </c>
      <c r="AG6" s="102">
        <v>10367304.35</v>
      </c>
      <c r="AH6" s="13" t="e">
        <f>'Qtrly''s-Cntsht Book'!#REF!</f>
        <v>#REF!</v>
      </c>
      <c r="AI6" s="20" t="e">
        <f t="shared" si="0"/>
        <v>#REF!</v>
      </c>
      <c r="AJ6" s="102">
        <v>11545267.449999999</v>
      </c>
      <c r="AK6" s="13" t="e">
        <f>'Qtrly''s-Cntsht Book'!#REF!</f>
        <v>#REF!</v>
      </c>
      <c r="AL6" s="20" t="e">
        <f t="shared" si="1"/>
        <v>#REF!</v>
      </c>
      <c r="AM6" s="302">
        <v>12740801.75</v>
      </c>
      <c r="AN6" s="383">
        <v>153873.96250000002</v>
      </c>
      <c r="AO6" s="20">
        <f t="shared" si="2"/>
        <v>82.800244713266537</v>
      </c>
      <c r="AP6" s="664">
        <v>12729365.569999998</v>
      </c>
      <c r="AQ6" s="668">
        <v>135904.70833333334</v>
      </c>
      <c r="AR6" s="20">
        <f t="shared" si="3"/>
        <v>93.663904114187829</v>
      </c>
      <c r="AS6" s="102">
        <v>13725390.560000001</v>
      </c>
      <c r="AT6" s="459">
        <v>110653</v>
      </c>
      <c r="AU6" s="20">
        <f t="shared" si="4"/>
        <v>124.03993167830967</v>
      </c>
      <c r="AV6" s="102">
        <v>14155036.83</v>
      </c>
      <c r="AW6" s="459">
        <v>113162</v>
      </c>
      <c r="AX6" s="20">
        <f t="shared" si="5"/>
        <v>125.0864851275163</v>
      </c>
      <c r="AY6" s="12">
        <v>14859856.050000001</v>
      </c>
      <c r="AZ6" s="459">
        <v>115078.41666666666</v>
      </c>
      <c r="BA6" s="20">
        <v>129.12808917976946</v>
      </c>
      <c r="BB6" s="12">
        <f>'BILLING RATE CALC'!C30</f>
        <v>15148563.550000001</v>
      </c>
      <c r="BC6" s="459">
        <f>'BILLING RATE CALC'!D30</f>
        <v>109922</v>
      </c>
      <c r="BD6" s="20">
        <f t="shared" si="6"/>
        <v>137.81193528138135</v>
      </c>
    </row>
    <row r="7" spans="1:56" x14ac:dyDescent="0.2">
      <c r="A7" s="1" t="s">
        <v>15</v>
      </c>
      <c r="B7" s="12">
        <v>2759922.38</v>
      </c>
      <c r="C7" s="13">
        <v>20514.825000000001</v>
      </c>
      <c r="D7" s="14">
        <v>170.78053276375562</v>
      </c>
      <c r="E7" s="1"/>
      <c r="F7" s="12">
        <v>2953749.72</v>
      </c>
      <c r="G7" s="13">
        <v>20327.367083333338</v>
      </c>
      <c r="H7" s="14">
        <v>182.96637383175121</v>
      </c>
      <c r="I7" s="12">
        <v>2953749.72</v>
      </c>
      <c r="J7" s="13">
        <v>20440</v>
      </c>
      <c r="K7" s="14">
        <v>181.17143941047573</v>
      </c>
      <c r="L7" s="12">
        <v>2733184.2</v>
      </c>
      <c r="M7" s="13">
        <v>21594</v>
      </c>
      <c r="N7" s="14">
        <v>162.08289216959975</v>
      </c>
      <c r="O7" s="12">
        <v>2914942.68</v>
      </c>
      <c r="P7" s="13">
        <v>23087.071249999997</v>
      </c>
      <c r="Q7" s="14">
        <v>156.54476712961858</v>
      </c>
      <c r="R7" s="12">
        <v>3148961.34</v>
      </c>
      <c r="S7" s="13">
        <v>23551.89875</v>
      </c>
      <c r="T7" s="14">
        <v>174.99676072487296</v>
      </c>
      <c r="U7" s="12">
        <v>3501265.65</v>
      </c>
      <c r="V7" s="13">
        <v>21658</v>
      </c>
      <c r="W7" s="87">
        <v>202.7</v>
      </c>
      <c r="X7" s="94">
        <v>3732359.16</v>
      </c>
      <c r="Y7" s="13">
        <v>21250</v>
      </c>
      <c r="Z7" s="87">
        <v>215.99</v>
      </c>
      <c r="AA7" s="12">
        <v>3618116.89</v>
      </c>
      <c r="AB7" s="13">
        <v>17189</v>
      </c>
      <c r="AC7" s="20">
        <v>210.49024899645124</v>
      </c>
      <c r="AD7" s="102">
        <v>3935511.29</v>
      </c>
      <c r="AE7" s="13" t="e">
        <f>'Qtrly''s-Cntsht Book'!#REF!</f>
        <v>#REF!</v>
      </c>
      <c r="AF7" s="20" t="e">
        <f t="shared" ref="AF7:AF14" si="7">AD7/AE7</f>
        <v>#REF!</v>
      </c>
      <c r="AG7" s="102">
        <v>4110405.23</v>
      </c>
      <c r="AH7" s="13" t="e">
        <f>'Qtrly''s-Cntsht Book'!#REF!</f>
        <v>#REF!</v>
      </c>
      <c r="AI7" s="20" t="e">
        <f t="shared" si="0"/>
        <v>#REF!</v>
      </c>
      <c r="AJ7" s="102">
        <v>4466229.38</v>
      </c>
      <c r="AK7" s="13" t="e">
        <f>'Qtrly''s-Cntsht Book'!#REF!</f>
        <v>#REF!</v>
      </c>
      <c r="AL7" s="20" t="e">
        <f t="shared" si="1"/>
        <v>#REF!</v>
      </c>
      <c r="AM7" s="302">
        <v>4477204.46</v>
      </c>
      <c r="AN7" s="383">
        <v>24480.245833333338</v>
      </c>
      <c r="AO7" s="20">
        <f t="shared" si="2"/>
        <v>182.89050242721211</v>
      </c>
      <c r="AP7" s="664">
        <v>4646328.21</v>
      </c>
      <c r="AQ7" s="668">
        <v>19545.749999999996</v>
      </c>
      <c r="AR7" s="20">
        <f t="shared" si="3"/>
        <v>237.71552434672503</v>
      </c>
      <c r="AS7" s="102">
        <v>4544196.3</v>
      </c>
      <c r="AT7" s="459">
        <v>18813</v>
      </c>
      <c r="AU7" s="20">
        <f t="shared" si="4"/>
        <v>241.54554297560196</v>
      </c>
      <c r="AV7" s="102">
        <v>4602921.4400000004</v>
      </c>
      <c r="AW7" s="459">
        <v>18922</v>
      </c>
      <c r="AX7" s="20">
        <f t="shared" si="5"/>
        <v>243.25765986682171</v>
      </c>
      <c r="AY7" s="12">
        <v>4705407.72</v>
      </c>
      <c r="AZ7" s="459">
        <v>19667.416666666668</v>
      </c>
      <c r="BA7" s="20">
        <v>239.24889576244971</v>
      </c>
      <c r="BB7" s="12">
        <f>'BILLING RATE CALC'!C31</f>
        <v>4955083.66</v>
      </c>
      <c r="BC7" s="459">
        <f>'BILLING RATE CALC'!D31</f>
        <v>21325.600000000002</v>
      </c>
      <c r="BD7" s="20">
        <f t="shared" si="6"/>
        <v>232.35377480586712</v>
      </c>
    </row>
    <row r="8" spans="1:56" x14ac:dyDescent="0.2">
      <c r="A8" s="428" t="s">
        <v>16</v>
      </c>
      <c r="B8" s="12">
        <v>5827761.3599999994</v>
      </c>
      <c r="C8" s="13">
        <v>61079.708333333336</v>
      </c>
      <c r="D8" s="14">
        <v>131.65985981235076</v>
      </c>
      <c r="E8" s="1"/>
      <c r="F8" s="12">
        <v>6041167.71</v>
      </c>
      <c r="G8" s="13">
        <v>60596.174583333333</v>
      </c>
      <c r="H8" s="14">
        <v>137.35288676576835</v>
      </c>
      <c r="I8" s="12">
        <v>6041167.71</v>
      </c>
      <c r="J8" s="13">
        <v>60590</v>
      </c>
      <c r="K8" s="14">
        <v>136.36882530630956</v>
      </c>
      <c r="L8" s="12">
        <v>5955706.8499999996</v>
      </c>
      <c r="M8" s="13">
        <v>61854</v>
      </c>
      <c r="N8" s="14">
        <v>131.79795501852831</v>
      </c>
      <c r="O8" s="12">
        <v>6103915.25</v>
      </c>
      <c r="P8" s="13">
        <v>65060.945833333324</v>
      </c>
      <c r="Q8" s="14">
        <v>124.10452876467015</v>
      </c>
      <c r="R8" s="12">
        <v>6622277.96</v>
      </c>
      <c r="S8" s="13">
        <v>72068.945833333331</v>
      </c>
      <c r="T8" s="14">
        <v>133.18177587264827</v>
      </c>
      <c r="U8" s="12">
        <v>7491800.2199999997</v>
      </c>
      <c r="V8" s="13">
        <v>70195</v>
      </c>
      <c r="W8" s="87">
        <v>147.77000000000001</v>
      </c>
      <c r="X8" s="94">
        <v>7881180.6600000001</v>
      </c>
      <c r="Y8" s="13">
        <v>75821</v>
      </c>
      <c r="Z8" s="87">
        <v>144.29</v>
      </c>
      <c r="AA8" s="12">
        <v>7690593.1700000009</v>
      </c>
      <c r="AB8" s="13">
        <v>73065</v>
      </c>
      <c r="AC8" s="20">
        <v>105.2568694997605</v>
      </c>
      <c r="AD8" s="102">
        <v>8262094.5700000003</v>
      </c>
      <c r="AE8" s="13" t="e">
        <f>'Qtrly''s-Cntsht Book'!#REF!</f>
        <v>#REF!</v>
      </c>
      <c r="AF8" s="20" t="e">
        <f t="shared" si="7"/>
        <v>#REF!</v>
      </c>
      <c r="AG8" s="102">
        <v>8336468.46</v>
      </c>
      <c r="AH8" s="13" t="e">
        <f>'Qtrly''s-Cntsht Book'!#REF!</f>
        <v>#REF!</v>
      </c>
      <c r="AI8" s="20" t="e">
        <f t="shared" si="0"/>
        <v>#REF!</v>
      </c>
      <c r="AJ8" s="102">
        <v>9182902.6799999997</v>
      </c>
      <c r="AK8" s="13" t="e">
        <f>'Qtrly''s-Cntsht Book'!#REF!</f>
        <v>#REF!</v>
      </c>
      <c r="AL8" s="20" t="e">
        <f t="shared" si="1"/>
        <v>#REF!</v>
      </c>
      <c r="AM8" s="302">
        <v>10195510.209999999</v>
      </c>
      <c r="AN8" s="383">
        <v>87468.904166666674</v>
      </c>
      <c r="AO8" s="20">
        <f t="shared" si="2"/>
        <v>116.56154043696574</v>
      </c>
      <c r="AP8" s="664">
        <v>9970901.6500000004</v>
      </c>
      <c r="AQ8" s="668">
        <v>81647.458333333343</v>
      </c>
      <c r="AR8" s="20">
        <f t="shared" si="3"/>
        <v>122.12139671626846</v>
      </c>
      <c r="AS8" s="102">
        <v>10135734.85</v>
      </c>
      <c r="AT8" s="459">
        <v>77267</v>
      </c>
      <c r="AU8" s="20">
        <f t="shared" si="4"/>
        <v>131.1780559617948</v>
      </c>
      <c r="AV8" s="102">
        <v>10625941.800000001</v>
      </c>
      <c r="AW8" s="459">
        <v>76084</v>
      </c>
      <c r="AX8" s="20">
        <f t="shared" si="5"/>
        <v>139.66066190000527</v>
      </c>
      <c r="AY8" s="12">
        <v>10760822.199999999</v>
      </c>
      <c r="AZ8" s="459">
        <v>81172.958333333343</v>
      </c>
      <c r="BA8" s="20">
        <v>132.56658893484126</v>
      </c>
      <c r="BB8" s="12">
        <f>'BILLING RATE CALC'!C32</f>
        <v>11077541.119999999</v>
      </c>
      <c r="BC8" s="459">
        <f>'BILLING RATE CALC'!D32</f>
        <v>85393.900000000009</v>
      </c>
      <c r="BD8" s="20">
        <f t="shared" si="6"/>
        <v>129.72286217165393</v>
      </c>
    </row>
    <row r="9" spans="1:56" x14ac:dyDescent="0.2">
      <c r="A9" s="1" t="s">
        <v>17</v>
      </c>
      <c r="B9" s="12">
        <v>2699075.64</v>
      </c>
      <c r="C9" s="13">
        <v>30399.32916666667</v>
      </c>
      <c r="D9" s="14">
        <v>125.03480529704403</v>
      </c>
      <c r="E9" s="1"/>
      <c r="F9" s="12">
        <v>2708207.76</v>
      </c>
      <c r="G9" s="13">
        <v>29603.233750000003</v>
      </c>
      <c r="H9" s="14">
        <v>129.14086826467116</v>
      </c>
      <c r="I9" s="12">
        <v>2708207.76</v>
      </c>
      <c r="J9" s="13">
        <v>29565</v>
      </c>
      <c r="K9" s="14">
        <v>128.26495444997707</v>
      </c>
      <c r="L9" s="12">
        <v>2764083.17</v>
      </c>
      <c r="M9" s="13">
        <v>31842</v>
      </c>
      <c r="N9" s="14">
        <v>122.31763257215944</v>
      </c>
      <c r="O9" s="12">
        <v>3048248.56</v>
      </c>
      <c r="P9" s="13">
        <v>34806.460833333331</v>
      </c>
      <c r="Q9" s="14">
        <v>117.86319730306413</v>
      </c>
      <c r="R9" s="12">
        <v>3317571.4</v>
      </c>
      <c r="S9" s="13">
        <v>36446.101666666669</v>
      </c>
      <c r="T9" s="14">
        <v>132.32046672808139</v>
      </c>
      <c r="U9" s="12">
        <v>3707178.25</v>
      </c>
      <c r="V9" s="13">
        <v>38410</v>
      </c>
      <c r="W9" s="87">
        <v>137.56</v>
      </c>
      <c r="X9" s="94">
        <v>3925122.09</v>
      </c>
      <c r="Y9" s="13">
        <v>41410</v>
      </c>
      <c r="Z9" s="87">
        <v>135.13999999999999</v>
      </c>
      <c r="AA9" s="12">
        <v>4091395.22</v>
      </c>
      <c r="AB9" s="13">
        <v>37712</v>
      </c>
      <c r="AC9" s="20">
        <v>108.49053935086975</v>
      </c>
      <c r="AD9" s="102">
        <v>4241143.1100000003</v>
      </c>
      <c r="AE9" s="13" t="e">
        <f>'Qtrly''s-Cntsht Book'!#REF!</f>
        <v>#REF!</v>
      </c>
      <c r="AF9" s="20" t="e">
        <f t="shared" si="7"/>
        <v>#REF!</v>
      </c>
      <c r="AG9" s="102">
        <v>4240361.3600000003</v>
      </c>
      <c r="AH9" s="13" t="e">
        <f>'Qtrly''s-Cntsht Book'!#REF!</f>
        <v>#REF!</v>
      </c>
      <c r="AI9" s="20" t="e">
        <f t="shared" si="0"/>
        <v>#REF!</v>
      </c>
      <c r="AJ9" s="102">
        <v>4486136.8899999997</v>
      </c>
      <c r="AK9" s="13" t="e">
        <f>'Qtrly''s-Cntsht Book'!#REF!</f>
        <v>#REF!</v>
      </c>
      <c r="AL9" s="20" t="e">
        <f t="shared" si="1"/>
        <v>#REF!</v>
      </c>
      <c r="AM9" s="302">
        <v>4846980.1399999997</v>
      </c>
      <c r="AN9" s="383">
        <v>38009.275000000001</v>
      </c>
      <c r="AO9" s="20">
        <f t="shared" si="2"/>
        <v>127.52098375988491</v>
      </c>
      <c r="AP9" s="664">
        <v>5095669.38</v>
      </c>
      <c r="AQ9" s="668">
        <v>36630.791666666657</v>
      </c>
      <c r="AR9" s="20">
        <f t="shared" si="3"/>
        <v>139.10890669166085</v>
      </c>
      <c r="AS9" s="102">
        <v>6136341.46</v>
      </c>
      <c r="AT9" s="459">
        <v>34812</v>
      </c>
      <c r="AU9" s="20">
        <f t="shared" si="4"/>
        <v>176.27086809146272</v>
      </c>
      <c r="AV9" s="102">
        <v>6495487.2400000002</v>
      </c>
      <c r="AW9" s="459">
        <v>31837</v>
      </c>
      <c r="AX9" s="20">
        <f t="shared" si="5"/>
        <v>204.02321952445268</v>
      </c>
      <c r="AY9" s="12">
        <v>6541857.9800000004</v>
      </c>
      <c r="AZ9" s="459">
        <v>29838.749999999996</v>
      </c>
      <c r="BA9" s="20">
        <v>219.24034954547363</v>
      </c>
      <c r="BB9" s="12">
        <f>'BILLING RATE CALC'!C33</f>
        <v>6632456.5700000003</v>
      </c>
      <c r="BC9" s="459">
        <f>'BILLING RATE CALC'!D33</f>
        <v>33095.550000000003</v>
      </c>
      <c r="BD9" s="20">
        <f t="shared" si="6"/>
        <v>200.40327385403776</v>
      </c>
    </row>
    <row r="10" spans="1:56" x14ac:dyDescent="0.2">
      <c r="A10" s="1" t="s">
        <v>18</v>
      </c>
      <c r="B10" s="12">
        <v>8207261.5800000001</v>
      </c>
      <c r="C10" s="13">
        <v>143569.70833333334</v>
      </c>
      <c r="D10" s="14">
        <v>93.413154117471635</v>
      </c>
      <c r="E10" s="1"/>
      <c r="F10" s="12">
        <v>8311351.2000000002</v>
      </c>
      <c r="G10" s="13">
        <v>140173.07916666666</v>
      </c>
      <c r="H10" s="14">
        <v>96.950848221157017</v>
      </c>
      <c r="I10" s="12">
        <v>8311351.2000000002</v>
      </c>
      <c r="J10" s="13">
        <v>140160</v>
      </c>
      <c r="K10" s="14">
        <v>95.962160056268303</v>
      </c>
      <c r="L10" s="12">
        <v>8446993.709999999</v>
      </c>
      <c r="M10" s="13">
        <v>140544</v>
      </c>
      <c r="N10" s="14">
        <v>95.613557527309055</v>
      </c>
      <c r="O10" s="12">
        <v>8922253.379999999</v>
      </c>
      <c r="P10" s="13">
        <v>143667.65</v>
      </c>
      <c r="Q10" s="14">
        <v>92.389533864531998</v>
      </c>
      <c r="R10" s="12">
        <v>9956649.9399999995</v>
      </c>
      <c r="S10" s="13">
        <v>148299.5</v>
      </c>
      <c r="T10" s="14">
        <v>108.43247981016688</v>
      </c>
      <c r="U10" s="12">
        <v>10900064.17</v>
      </c>
      <c r="V10" s="13">
        <v>143253</v>
      </c>
      <c r="W10" s="87">
        <v>117.13</v>
      </c>
      <c r="X10" s="94">
        <v>11838881.150000002</v>
      </c>
      <c r="Y10" s="13">
        <v>152147</v>
      </c>
      <c r="Z10" s="87">
        <v>118.16</v>
      </c>
      <c r="AA10" s="12">
        <v>12051609.629999999</v>
      </c>
      <c r="AB10" s="13">
        <v>161728</v>
      </c>
      <c r="AC10" s="20">
        <v>74.51776828996833</v>
      </c>
      <c r="AD10" s="102">
        <v>12507800.460000001</v>
      </c>
      <c r="AE10" s="13" t="e">
        <f>'Qtrly''s-Cntsht Book'!#REF!</f>
        <v>#REF!</v>
      </c>
      <c r="AF10" s="20" t="e">
        <f t="shared" si="7"/>
        <v>#REF!</v>
      </c>
      <c r="AG10" s="102">
        <v>12108368.67</v>
      </c>
      <c r="AH10" s="13" t="e">
        <f>'Qtrly''s-Cntsht Book'!#REF!</f>
        <v>#REF!</v>
      </c>
      <c r="AI10" s="20" t="e">
        <f t="shared" si="0"/>
        <v>#REF!</v>
      </c>
      <c r="AJ10" s="102">
        <v>13367392.85</v>
      </c>
      <c r="AK10" s="13" t="e">
        <f>'Qtrly''s-Cntsht Book'!#REF!</f>
        <v>#REF!</v>
      </c>
      <c r="AL10" s="20" t="e">
        <f t="shared" si="1"/>
        <v>#REF!</v>
      </c>
      <c r="AM10" s="302">
        <v>13418699.330000002</v>
      </c>
      <c r="AN10" s="383">
        <v>183310.90833333333</v>
      </c>
      <c r="AO10" s="20">
        <f t="shared" si="2"/>
        <v>73.201859354705633</v>
      </c>
      <c r="AP10" s="664">
        <v>13075634.860000001</v>
      </c>
      <c r="AQ10" s="668">
        <v>180115.33333333334</v>
      </c>
      <c r="AR10" s="20">
        <f t="shared" si="3"/>
        <v>72.595900737675493</v>
      </c>
      <c r="AS10" s="102">
        <v>7478497.0899999999</v>
      </c>
      <c r="AT10" s="459">
        <v>37629</v>
      </c>
      <c r="AU10" s="20">
        <f t="shared" si="4"/>
        <v>198.74291344441787</v>
      </c>
      <c r="AV10" s="102">
        <v>94820.73</v>
      </c>
      <c r="AW10" s="459">
        <v>0</v>
      </c>
      <c r="AX10" s="20">
        <v>0</v>
      </c>
      <c r="AY10" s="12">
        <v>0</v>
      </c>
      <c r="AZ10" s="459">
        <v>0</v>
      </c>
      <c r="BA10" s="20">
        <v>0</v>
      </c>
      <c r="BB10" s="12">
        <f>'BILLING RATE CALC'!C34</f>
        <v>1216570.7099999997</v>
      </c>
      <c r="BC10" s="459">
        <f>'BILLING RATE CALC'!D34</f>
        <v>0</v>
      </c>
      <c r="BD10" s="20">
        <v>0</v>
      </c>
    </row>
    <row r="11" spans="1:56" x14ac:dyDescent="0.2">
      <c r="A11" s="1" t="s">
        <v>277</v>
      </c>
      <c r="B11" s="12"/>
      <c r="C11" s="13"/>
      <c r="D11" s="14"/>
      <c r="E11" s="1"/>
      <c r="F11" s="12"/>
      <c r="G11" s="13"/>
      <c r="H11" s="14"/>
      <c r="I11" s="15">
        <v>2330932.15</v>
      </c>
      <c r="J11" s="13">
        <v>34310</v>
      </c>
      <c r="K11" s="14">
        <v>104.60053480124061</v>
      </c>
      <c r="L11" s="12">
        <v>2389598.2999999998</v>
      </c>
      <c r="M11" s="13">
        <v>35136</v>
      </c>
      <c r="N11" s="14">
        <v>103.52139770547392</v>
      </c>
      <c r="O11" s="12">
        <v>2644884.66</v>
      </c>
      <c r="P11" s="13">
        <v>35896.989583333328</v>
      </c>
      <c r="Q11" s="14">
        <v>103.96595297988468</v>
      </c>
      <c r="R11" s="12">
        <v>3089261.72</v>
      </c>
      <c r="S11" s="13">
        <v>35735.5075</v>
      </c>
      <c r="T11" s="14">
        <v>127.7416433057989</v>
      </c>
      <c r="U11" s="12">
        <v>3626206.66</v>
      </c>
      <c r="V11" s="13">
        <v>39250</v>
      </c>
      <c r="W11" s="87">
        <v>133.43</v>
      </c>
      <c r="X11" s="94">
        <v>3797182.17</v>
      </c>
      <c r="Y11" s="13">
        <v>44263</v>
      </c>
      <c r="Z11" s="87">
        <v>126.14</v>
      </c>
      <c r="AA11" s="12">
        <v>3906004.53</v>
      </c>
      <c r="AB11" s="13">
        <v>42940</v>
      </c>
      <c r="AC11" s="20">
        <v>90.964241499767112</v>
      </c>
      <c r="AD11" s="102">
        <v>3769359.7</v>
      </c>
      <c r="AE11" s="13" t="e">
        <f>'Qtrly''s-Cntsht Book'!#REF!</f>
        <v>#REF!</v>
      </c>
      <c r="AF11" s="20" t="e">
        <f t="shared" si="7"/>
        <v>#REF!</v>
      </c>
      <c r="AG11" s="102">
        <v>3584193.87</v>
      </c>
      <c r="AH11" s="13" t="e">
        <f>'Qtrly''s-Cntsht Book'!#REF!</f>
        <v>#REF!</v>
      </c>
      <c r="AI11" s="20" t="e">
        <f t="shared" si="0"/>
        <v>#REF!</v>
      </c>
      <c r="AJ11" s="102">
        <v>3810246.96</v>
      </c>
      <c r="AK11" s="13" t="e">
        <f>'Qtrly''s-Cntsht Book'!#REF!</f>
        <v>#REF!</v>
      </c>
      <c r="AL11" s="20" t="e">
        <f t="shared" si="1"/>
        <v>#REF!</v>
      </c>
      <c r="AM11" s="302">
        <v>3051516.9800000004</v>
      </c>
      <c r="AN11" s="383">
        <v>32252.008333333339</v>
      </c>
      <c r="AO11" s="20">
        <f t="shared" si="2"/>
        <v>94.614789518275472</v>
      </c>
      <c r="AP11" s="664">
        <v>206733.59</v>
      </c>
      <c r="AQ11" s="668">
        <v>1460</v>
      </c>
      <c r="AR11" s="20">
        <v>0</v>
      </c>
      <c r="AS11" s="102">
        <v>284563.77</v>
      </c>
      <c r="AT11" s="459">
        <v>35223</v>
      </c>
      <c r="AU11" s="20">
        <v>0</v>
      </c>
      <c r="AV11" s="102">
        <v>4294758.95</v>
      </c>
      <c r="AW11" s="459">
        <v>31825</v>
      </c>
      <c r="AX11" s="20">
        <v>0</v>
      </c>
      <c r="AY11" s="12">
        <v>4773916.43</v>
      </c>
      <c r="AZ11" s="459">
        <v>37306.041666666679</v>
      </c>
      <c r="BA11" s="20">
        <v>127.96630831690572</v>
      </c>
      <c r="BB11" s="12">
        <f>'BILLING RATE CALC'!C35</f>
        <v>4614006.41</v>
      </c>
      <c r="BC11" s="459">
        <f>'BILLING RATE CALC'!D35</f>
        <v>29060.399999999998</v>
      </c>
      <c r="BD11" s="20">
        <f>BB11/BC11</f>
        <v>158.77298351020636</v>
      </c>
    </row>
    <row r="12" spans="1:56" x14ac:dyDescent="0.2">
      <c r="A12" s="428" t="s">
        <v>19</v>
      </c>
      <c r="B12" s="12">
        <v>13586189.510000002</v>
      </c>
      <c r="C12" s="13">
        <v>188029.75</v>
      </c>
      <c r="D12" s="14">
        <v>108.50299456736604</v>
      </c>
      <c r="E12" s="1"/>
      <c r="F12" s="12">
        <v>13814498.580000002</v>
      </c>
      <c r="G12" s="13">
        <v>174111.4483333333</v>
      </c>
      <c r="H12" s="14">
        <v>117.00020757470205</v>
      </c>
      <c r="I12" s="12">
        <v>13814498.580000002</v>
      </c>
      <c r="J12" s="13">
        <v>174105</v>
      </c>
      <c r="K12" s="14">
        <v>116.0089250041446</v>
      </c>
      <c r="L12" s="12">
        <v>14201185</v>
      </c>
      <c r="M12" s="13">
        <v>177144</v>
      </c>
      <c r="N12" s="14">
        <v>115.67889050323544</v>
      </c>
      <c r="O12" s="12">
        <v>15053552.92</v>
      </c>
      <c r="P12" s="13">
        <v>173736.04583333334</v>
      </c>
      <c r="Q12" s="14">
        <v>116.93221929879984</v>
      </c>
      <c r="R12" s="12">
        <v>16269860.390000001</v>
      </c>
      <c r="S12" s="13">
        <v>177677.43750000003</v>
      </c>
      <c r="T12" s="14">
        <v>132.8633312787793</v>
      </c>
      <c r="U12" s="12">
        <v>18421022.010000002</v>
      </c>
      <c r="V12" s="13">
        <v>172897</v>
      </c>
      <c r="W12" s="87">
        <v>147.59</v>
      </c>
      <c r="X12" s="94">
        <v>19526927.620000001</v>
      </c>
      <c r="Y12" s="13">
        <v>196419</v>
      </c>
      <c r="Z12" s="87">
        <v>139.76</v>
      </c>
      <c r="AA12" s="425">
        <v>19044803.41</v>
      </c>
      <c r="AB12" s="13">
        <v>195304</v>
      </c>
      <c r="AC12" s="20">
        <v>97.513637252693243</v>
      </c>
      <c r="AD12" s="103">
        <v>20860192.940000001</v>
      </c>
      <c r="AE12" s="13" t="e">
        <f>'Qtrly''s-Cntsht Book'!#REF!</f>
        <v>#REF!</v>
      </c>
      <c r="AF12" s="20" t="e">
        <f t="shared" si="7"/>
        <v>#REF!</v>
      </c>
      <c r="AG12" s="103">
        <v>21259252.710000001</v>
      </c>
      <c r="AH12" s="13" t="e">
        <f>'Qtrly''s-Cntsht Book'!#REF!</f>
        <v>#REF!</v>
      </c>
      <c r="AI12" s="20" t="e">
        <f>AG12/AH12</f>
        <v>#REF!</v>
      </c>
      <c r="AJ12" s="103">
        <v>23701557.920000002</v>
      </c>
      <c r="AK12" s="13" t="e">
        <f>'Qtrly''s-Cntsht Book'!#REF!</f>
        <v>#REF!</v>
      </c>
      <c r="AL12" s="20" t="e">
        <f>AJ12/AK12</f>
        <v>#REF!</v>
      </c>
      <c r="AM12" s="302">
        <v>23895860.159999996</v>
      </c>
      <c r="AN12" s="384">
        <v>168351.07916666666</v>
      </c>
      <c r="AO12" s="20">
        <f>AM12/AN12</f>
        <v>141.94064141604477</v>
      </c>
      <c r="AP12" s="665">
        <v>22390188.989999998</v>
      </c>
      <c r="AQ12" s="668">
        <v>187704.29166666666</v>
      </c>
      <c r="AR12" s="20">
        <f>AP12/AQ12</f>
        <v>119.28437432726076</v>
      </c>
      <c r="AS12" s="103">
        <v>24652732.98</v>
      </c>
      <c r="AT12" s="459">
        <v>178512</v>
      </c>
      <c r="AU12" s="20">
        <f>AS12/AT12</f>
        <v>138.10126478892175</v>
      </c>
      <c r="AV12" s="103">
        <v>22400760.559999999</v>
      </c>
      <c r="AW12" s="459">
        <v>143332</v>
      </c>
      <c r="AX12" s="20">
        <f>AV12/AW12</f>
        <v>156.28582982167276</v>
      </c>
      <c r="AY12" s="425">
        <v>23899564.390000001</v>
      </c>
      <c r="AZ12" s="459">
        <v>166053.70833333331</v>
      </c>
      <c r="BA12" s="20">
        <v>143.92671280802975</v>
      </c>
      <c r="BB12" s="425">
        <f>'BILLING RATE CALC'!C36</f>
        <v>23990565.460000001</v>
      </c>
      <c r="BC12" s="459">
        <f>'BILLING RATE CALC'!D36</f>
        <v>188413.75</v>
      </c>
      <c r="BD12" s="20">
        <f>BB12/BC12</f>
        <v>127.32916498928556</v>
      </c>
    </row>
    <row r="13" spans="1:56" x14ac:dyDescent="0.2">
      <c r="A13" s="1" t="s">
        <v>25</v>
      </c>
      <c r="B13" s="12">
        <v>8134816.5899999999</v>
      </c>
      <c r="C13" s="13">
        <v>130177.85833333335</v>
      </c>
      <c r="D13" s="14">
        <v>98.737480216869031</v>
      </c>
      <c r="E13" s="1"/>
      <c r="F13" s="12">
        <v>8641325.7200000007</v>
      </c>
      <c r="G13" s="13">
        <v>128241.29</v>
      </c>
      <c r="H13" s="14">
        <v>105.04069161625803</v>
      </c>
      <c r="I13" s="12">
        <v>8641325.7200000007</v>
      </c>
      <c r="J13" s="13">
        <v>128115</v>
      </c>
      <c r="K13" s="14">
        <v>104.11289387939597</v>
      </c>
      <c r="L13" s="12">
        <v>8271519.7600000007</v>
      </c>
      <c r="M13" s="13">
        <v>129930</v>
      </c>
      <c r="N13" s="14">
        <v>99.172782141644674</v>
      </c>
      <c r="O13" s="12">
        <v>8861688.3399999999</v>
      </c>
      <c r="P13" s="13">
        <v>129263.53333333334</v>
      </c>
      <c r="Q13" s="14">
        <v>98.841314525244101</v>
      </c>
      <c r="R13" s="12">
        <v>9695306.5999999996</v>
      </c>
      <c r="S13" s="13">
        <v>134469.34583333333</v>
      </c>
      <c r="T13" s="14">
        <v>113.39417989837223</v>
      </c>
      <c r="U13" s="12">
        <v>10448269.25</v>
      </c>
      <c r="V13" s="13">
        <v>133648</v>
      </c>
      <c r="W13" s="87">
        <v>119.22</v>
      </c>
      <c r="X13" s="94">
        <v>10982562.340000002</v>
      </c>
      <c r="Y13" s="13">
        <v>136916</v>
      </c>
      <c r="Z13" s="87">
        <v>120.56</v>
      </c>
      <c r="AA13" s="425">
        <v>12067388.890000001</v>
      </c>
      <c r="AB13" s="13">
        <v>132834</v>
      </c>
      <c r="AC13" s="20">
        <v>90.845633572729881</v>
      </c>
      <c r="AD13" s="103">
        <v>12779068.41</v>
      </c>
      <c r="AE13" s="13" t="e">
        <f>'Qtrly''s-Cntsht Book'!#REF!</f>
        <v>#REF!</v>
      </c>
      <c r="AF13" s="20" t="e">
        <f t="shared" si="7"/>
        <v>#REF!</v>
      </c>
      <c r="AG13" s="103">
        <v>12467851.560000001</v>
      </c>
      <c r="AH13" s="13" t="e">
        <f>'Qtrly''s-Cntsht Book'!#REF!</f>
        <v>#REF!</v>
      </c>
      <c r="AI13" s="20" t="e">
        <f>AG13/AH13</f>
        <v>#REF!</v>
      </c>
      <c r="AJ13" s="103">
        <v>14244441.1</v>
      </c>
      <c r="AK13" s="13" t="e">
        <f>'Qtrly''s-Cntsht Book'!#REF!</f>
        <v>#REF!</v>
      </c>
      <c r="AL13" s="20" t="e">
        <f>AJ13/AK13</f>
        <v>#REF!</v>
      </c>
      <c r="AM13" s="302">
        <v>15292805.16</v>
      </c>
      <c r="AN13" s="384">
        <v>158056.86249999999</v>
      </c>
      <c r="AO13" s="20">
        <f>AM13/AN13</f>
        <v>96.755084961907315</v>
      </c>
      <c r="AP13" s="665">
        <v>15004487</v>
      </c>
      <c r="AQ13" s="668">
        <v>146872.95833333334</v>
      </c>
      <c r="AR13" s="20">
        <f>AP13/AQ13</f>
        <v>102.15962945300515</v>
      </c>
      <c r="AS13" s="103">
        <v>15176252.07</v>
      </c>
      <c r="AT13" s="459">
        <v>140723</v>
      </c>
      <c r="AU13" s="20">
        <f>AS13/AT13</f>
        <v>107.84485883615329</v>
      </c>
      <c r="AV13" s="103">
        <v>15506331.210000001</v>
      </c>
      <c r="AW13" s="459">
        <v>148795</v>
      </c>
      <c r="AX13" s="20">
        <f>AV13/AW13</f>
        <v>104.2127168923687</v>
      </c>
      <c r="AY13" s="425">
        <v>16092746.300000001</v>
      </c>
      <c r="AZ13" s="459">
        <v>153655.87499999997</v>
      </c>
      <c r="BA13" s="20">
        <v>104.7323852732608</v>
      </c>
      <c r="BB13" s="425">
        <f>'BILLING RATE CALC'!C37</f>
        <v>15931895.6</v>
      </c>
      <c r="BC13" s="459">
        <f>'BILLING RATE CALC'!D37</f>
        <v>162064.79999999999</v>
      </c>
      <c r="BD13" s="20">
        <f>BB13/BC13</f>
        <v>98.30571228298804</v>
      </c>
    </row>
    <row r="14" spans="1:56" ht="13.5" thickBot="1" x14ac:dyDescent="0.25">
      <c r="A14" s="540" t="s">
        <v>72</v>
      </c>
      <c r="B14" s="12">
        <v>3868924.76</v>
      </c>
      <c r="C14" s="13">
        <v>35373.062499999993</v>
      </c>
      <c r="D14" s="14">
        <v>145.62235144875612</v>
      </c>
      <c r="E14" s="1"/>
      <c r="F14" s="12">
        <v>4147309.37</v>
      </c>
      <c r="G14" s="13">
        <v>39512.345000000001</v>
      </c>
      <c r="H14" s="14">
        <v>142.61972714018285</v>
      </c>
      <c r="I14" s="12">
        <v>4147309.37</v>
      </c>
      <c r="J14" s="13">
        <v>39420</v>
      </c>
      <c r="K14" s="14">
        <v>141.87139001567976</v>
      </c>
      <c r="L14" s="12">
        <v>4309167.79</v>
      </c>
      <c r="M14" s="13">
        <v>43920</v>
      </c>
      <c r="N14" s="14">
        <v>133.62544859345206</v>
      </c>
      <c r="O14" s="12">
        <v>4247216.13</v>
      </c>
      <c r="P14" s="13">
        <v>41160.776250000003</v>
      </c>
      <c r="Q14" s="14">
        <v>133.47211370645763</v>
      </c>
      <c r="R14" s="12">
        <v>4428785.87</v>
      </c>
      <c r="S14" s="13">
        <v>42733.59166666666</v>
      </c>
      <c r="T14" s="14">
        <v>144.93079174407586</v>
      </c>
      <c r="U14" s="12">
        <v>4844664.5</v>
      </c>
      <c r="V14" s="13">
        <v>40962</v>
      </c>
      <c r="W14" s="87">
        <v>159.31</v>
      </c>
      <c r="X14" s="94">
        <v>5212389.76</v>
      </c>
      <c r="Y14" s="13">
        <v>39962</v>
      </c>
      <c r="Z14" s="87">
        <v>170.78</v>
      </c>
      <c r="AA14" s="425">
        <v>5636452.7800000003</v>
      </c>
      <c r="AB14" s="13">
        <v>43264</v>
      </c>
      <c r="AC14" s="20">
        <v>130.28043592825443</v>
      </c>
      <c r="AD14" s="103">
        <v>5676041.6699999999</v>
      </c>
      <c r="AE14" s="13" t="e">
        <f>'Qtrly''s-Cntsht Book'!#REF!</f>
        <v>#REF!</v>
      </c>
      <c r="AF14" s="20" t="e">
        <f t="shared" si="7"/>
        <v>#REF!</v>
      </c>
      <c r="AG14" s="103">
        <v>5845331.9500000002</v>
      </c>
      <c r="AH14" s="13" t="e">
        <f>'Qtrly''s-Cntsht Book'!#REF!</f>
        <v>#REF!</v>
      </c>
      <c r="AI14" s="20" t="e">
        <f>AG14/AH14</f>
        <v>#REF!</v>
      </c>
      <c r="AJ14" s="103">
        <v>7724430.5899999999</v>
      </c>
      <c r="AK14" s="13" t="e">
        <f>'Qtrly''s-Cntsht Book'!#REF!</f>
        <v>#REF!</v>
      </c>
      <c r="AL14" s="20" t="e">
        <f>AJ14/AK14</f>
        <v>#REF!</v>
      </c>
      <c r="AM14" s="302">
        <v>8442685.8599999994</v>
      </c>
      <c r="AN14" s="386">
        <v>71491.029166666674</v>
      </c>
      <c r="AO14" s="20">
        <f>AM14/AN14</f>
        <v>118.09433936553926</v>
      </c>
      <c r="AP14" s="665">
        <v>8415108.7100000009</v>
      </c>
      <c r="AQ14" s="668">
        <v>67050.5</v>
      </c>
      <c r="AR14" s="20">
        <f>AP14/AQ14</f>
        <v>125.50404113317576</v>
      </c>
      <c r="AS14" s="103">
        <v>8463732.9700000007</v>
      </c>
      <c r="AT14" s="459">
        <v>59288</v>
      </c>
      <c r="AU14" s="20">
        <f>AS14/AT14</f>
        <v>142.75625708406423</v>
      </c>
      <c r="AV14" s="103">
        <v>9406646.4100000001</v>
      </c>
      <c r="AW14" s="459">
        <v>60523</v>
      </c>
      <c r="AX14" s="20">
        <f>AV14/AW14</f>
        <v>155.42267253771294</v>
      </c>
      <c r="AY14" s="425">
        <v>9772602.3900000006</v>
      </c>
      <c r="AZ14" s="459">
        <v>69207.041666666672</v>
      </c>
      <c r="BA14" s="20">
        <v>141.20820879859889</v>
      </c>
      <c r="BB14" s="425">
        <f>'BILLING RATE CALC'!C38</f>
        <v>10035749.830000002</v>
      </c>
      <c r="BC14" s="459">
        <f>'BILLING RATE CALC'!D38</f>
        <v>74551.150000000009</v>
      </c>
      <c r="BD14" s="20">
        <f>BB14/BC14</f>
        <v>134.61562739139504</v>
      </c>
    </row>
    <row r="15" spans="1:56" ht="14.25" thickTop="1" thickBot="1" x14ac:dyDescent="0.25">
      <c r="A15" s="9" t="s">
        <v>60</v>
      </c>
      <c r="B15" s="16">
        <v>80209969.890000015</v>
      </c>
      <c r="C15" s="17">
        <v>1040830.7454166668</v>
      </c>
      <c r="D15" s="97">
        <v>113.31</v>
      </c>
      <c r="E15" s="9"/>
      <c r="F15" s="16">
        <v>84520064.450000018</v>
      </c>
      <c r="G15" s="17">
        <v>1096697.1891666665</v>
      </c>
      <c r="H15" s="97">
        <v>114.96</v>
      </c>
      <c r="I15" s="16">
        <v>87100985.303000003</v>
      </c>
      <c r="J15" s="17">
        <v>1130770</v>
      </c>
      <c r="K15" s="97">
        <v>113.69</v>
      </c>
      <c r="L15" s="16">
        <v>86838486.000000015</v>
      </c>
      <c r="M15" s="17">
        <v>1164612</v>
      </c>
      <c r="N15" s="97">
        <v>110.08</v>
      </c>
      <c r="O15" s="16">
        <v>92104111.75999999</v>
      </c>
      <c r="P15" s="17">
        <v>1187552.5025000002</v>
      </c>
      <c r="Q15" s="97">
        <v>107.42</v>
      </c>
      <c r="R15" s="16">
        <v>101019978.05</v>
      </c>
      <c r="S15" s="17">
        <v>1257892.5649999997</v>
      </c>
      <c r="T15" s="97">
        <v>121.6</v>
      </c>
      <c r="U15" s="16">
        <v>112247971.41999999</v>
      </c>
      <c r="V15" s="17">
        <v>1274555</v>
      </c>
      <c r="W15" s="97">
        <v>129.11000000000001</v>
      </c>
      <c r="X15" s="95">
        <v>116257567.66000003</v>
      </c>
      <c r="Y15" s="96">
        <v>1356782</v>
      </c>
      <c r="Z15" s="424">
        <v>126.04</v>
      </c>
      <c r="AA15" s="16">
        <v>117625765.84999999</v>
      </c>
      <c r="AB15" s="17">
        <v>1290018</v>
      </c>
      <c r="AC15" s="97">
        <v>134.21</v>
      </c>
      <c r="AD15" s="104">
        <f>SUM(AD2:AD14)</f>
        <v>124375600.88</v>
      </c>
      <c r="AE15" s="17" t="e">
        <f>SUM(AE2:AE14)</f>
        <v>#REF!</v>
      </c>
      <c r="AF15" s="97">
        <v>136.44</v>
      </c>
      <c r="AG15" s="104">
        <f>SUM(AG2:AG14)</f>
        <v>123770220.69000001</v>
      </c>
      <c r="AH15" s="17" t="e">
        <f>SUM(AH2:AH14)</f>
        <v>#REF!</v>
      </c>
      <c r="AI15" s="97">
        <v>134.9</v>
      </c>
      <c r="AJ15" s="104">
        <f>SUM(AJ2:AJ14)</f>
        <v>137949523.11999997</v>
      </c>
      <c r="AK15" s="17" t="e">
        <f>SUM(AK2:AK14)</f>
        <v>#REF!</v>
      </c>
      <c r="AL15" s="97">
        <v>147.21</v>
      </c>
      <c r="AM15" s="104">
        <f>SUM(AM2:AM14)</f>
        <v>190608052.26999998</v>
      </c>
      <c r="AN15" s="17">
        <f>SUM(AN2:AN14)</f>
        <v>1838805.5166666661</v>
      </c>
      <c r="AO15" s="97">
        <v>142.66</v>
      </c>
      <c r="AP15" s="666">
        <v>184917172.89000002</v>
      </c>
      <c r="AQ15" s="667">
        <v>1757109.9999999998</v>
      </c>
      <c r="AR15" s="754">
        <v>149.62</v>
      </c>
      <c r="AS15" s="104">
        <f>SUM(AS2:AS14)</f>
        <v>182232279.14999998</v>
      </c>
      <c r="AT15" s="17">
        <f>SUM(AT2:AT14)</f>
        <v>1604161</v>
      </c>
      <c r="AU15" s="754">
        <v>166.91</v>
      </c>
      <c r="AV15" s="104">
        <f>SUM(AV2:AV14)</f>
        <v>180290674.90000001</v>
      </c>
      <c r="AW15" s="17">
        <f>SUM(AW2:AW14)+1</f>
        <v>1565372</v>
      </c>
      <c r="AX15" s="754">
        <v>168.74</v>
      </c>
      <c r="AY15" s="16">
        <v>185812882.35000002</v>
      </c>
      <c r="AZ15" s="17">
        <v>1606319.6791666667</v>
      </c>
      <c r="BA15" s="754">
        <v>176.23696019555885</v>
      </c>
      <c r="BB15" s="16">
        <f>SUM(BB2:BB14)</f>
        <v>198431463.06999999</v>
      </c>
      <c r="BC15" s="17">
        <f>SUM(BC2:BC14)</f>
        <v>1664142.8299999998</v>
      </c>
      <c r="BD15" s="755">
        <f>'BILLING RATE CALC'!J39</f>
        <v>175.84467339100732</v>
      </c>
    </row>
    <row r="16" spans="1:56" ht="13.5" thickTop="1" x14ac:dyDescent="0.2">
      <c r="AE16" s="105">
        <v>1369943</v>
      </c>
      <c r="AH16" s="408">
        <v>1399616</v>
      </c>
      <c r="AJ16" s="427">
        <v>137949523.12</v>
      </c>
      <c r="AK16" s="105">
        <v>1410128</v>
      </c>
      <c r="AM16" s="427">
        <v>190608052.27000001</v>
      </c>
      <c r="AN16" s="105">
        <v>1838806</v>
      </c>
      <c r="AP16" s="427">
        <v>184917172.88999999</v>
      </c>
      <c r="AQ16" s="105">
        <v>1757110</v>
      </c>
      <c r="AS16" s="427">
        <v>182232279.15000001</v>
      </c>
      <c r="AT16" s="408" t="s">
        <v>741</v>
      </c>
      <c r="AV16" s="427">
        <v>180290674.90000001</v>
      </c>
      <c r="AW16" s="408">
        <v>1565372</v>
      </c>
      <c r="AY16" s="427">
        <v>185812882.35000002</v>
      </c>
      <c r="AZ16" s="105">
        <v>1606319.6791666667</v>
      </c>
      <c r="BB16" s="427">
        <f>'BILLING RATE CALC'!C39</f>
        <v>198431463.06999999</v>
      </c>
      <c r="BC16" s="105">
        <f>'BILLING RATE CALC'!D39</f>
        <v>1664142.8299999998</v>
      </c>
    </row>
    <row r="17" spans="1:54" x14ac:dyDescent="0.2">
      <c r="X17" s="89"/>
      <c r="Z17" s="90"/>
      <c r="AJ17" s="427"/>
      <c r="AK17" s="78"/>
      <c r="AM17" s="427"/>
      <c r="AP17" s="427"/>
      <c r="AS17" s="427"/>
      <c r="AV17" s="427"/>
      <c r="AY17" s="427"/>
      <c r="BB17" s="427"/>
    </row>
    <row r="18" spans="1:54" x14ac:dyDescent="0.2">
      <c r="A18" t="s">
        <v>281</v>
      </c>
      <c r="AJ18" s="427"/>
    </row>
    <row r="22" spans="1:54" x14ac:dyDescent="0.2">
      <c r="A22" s="106" t="s">
        <v>891</v>
      </c>
    </row>
    <row r="39" spans="29:32" x14ac:dyDescent="0.2">
      <c r="AC39" t="s">
        <v>278</v>
      </c>
      <c r="AF39" t="s">
        <v>278</v>
      </c>
    </row>
  </sheetData>
  <phoneticPr fontId="21" type="noConversion"/>
  <pageMargins left="0" right="0" top="1.5" bottom="1" header="0.33" footer="0.5"/>
  <pageSetup scale="79" fitToHeight="0" orientation="landscape" r:id="rId1"/>
  <headerFooter alignWithMargins="0">
    <oddHeader>&amp;C&amp;"Arial,Bold"&amp;12DEPARTMENT OF CORRECTIONS
 COST OF CARE Year 2021
(Based on Fiscal Year 2020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4:A11"/>
  <sheetViews>
    <sheetView workbookViewId="0">
      <selection activeCell="F13" sqref="F13"/>
    </sheetView>
  </sheetViews>
  <sheetFormatPr defaultRowHeight="12.75" x14ac:dyDescent="0.2"/>
  <cols>
    <col min="1" max="1" width="14.42578125" customWidth="1"/>
  </cols>
  <sheetData>
    <row r="4" spans="1:1" x14ac:dyDescent="0.2">
      <c r="A4" s="653"/>
    </row>
    <row r="5" spans="1:1" x14ac:dyDescent="0.2">
      <c r="A5" s="653"/>
    </row>
    <row r="6" spans="1:1" x14ac:dyDescent="0.2">
      <c r="A6" s="653"/>
    </row>
    <row r="7" spans="1:1" x14ac:dyDescent="0.2">
      <c r="A7" s="653"/>
    </row>
    <row r="8" spans="1:1" x14ac:dyDescent="0.2">
      <c r="A8" s="653"/>
    </row>
    <row r="9" spans="1:1" x14ac:dyDescent="0.2">
      <c r="A9" s="653"/>
    </row>
    <row r="10" spans="1:1" x14ac:dyDescent="0.2">
      <c r="A10" s="653"/>
    </row>
    <row r="11" spans="1:1" x14ac:dyDescent="0.2">
      <c r="A11" s="653"/>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23</vt:i4>
      </vt:variant>
    </vt:vector>
  </HeadingPairs>
  <TitlesOfParts>
    <vt:vector size="45" baseType="lpstr">
      <vt:lpstr>Daily Cost Calc</vt:lpstr>
      <vt:lpstr>Sched-A</vt:lpstr>
      <vt:lpstr>Sched-B1</vt:lpstr>
      <vt:lpstr>Sched-B2</vt:lpstr>
      <vt:lpstr>Sched-C</vt:lpstr>
      <vt:lpstr>Sched-D1</vt:lpstr>
      <vt:lpstr>Sched-D2</vt:lpstr>
      <vt:lpstr>Sched-E</vt:lpstr>
      <vt:lpstr>Summary-Sched-E</vt:lpstr>
      <vt:lpstr>Sched-F-G</vt:lpstr>
      <vt:lpstr>Property Inventory</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2018-2021 COMPARISON</vt:lpstr>
      <vt:lpstr>Sheet1</vt:lpstr>
      <vt:lpstr>'BILLING RATE CALC'!Print_Area</vt:lpstr>
      <vt:lpstr>'COC 2018-2021 COMPARISON'!Print_Area</vt:lpstr>
      <vt:lpstr>'COST ALLOCATION'!Print_Area</vt:lpstr>
      <vt:lpstr>CostReim!Print_Area</vt:lpstr>
      <vt:lpstr>'CRC Avg Info by FY'!Print_Area</vt:lpstr>
      <vt:lpstr>'Daily Cost Calc'!Print_Area</vt:lpstr>
      <vt:lpstr>'Inmate Avg Daily Population'!Print_Area</vt:lpstr>
      <vt:lpstr>'Monthly PO Workload Stats'!Print_Area</vt:lpstr>
      <vt:lpstr>'Property Inventory'!Print_Area</vt:lpstr>
      <vt:lpstr>'Qtrly''s-Cntsht Book'!Print_Area</vt:lpstr>
      <vt:lpstr>'Sched-B2'!Print_Area</vt:lpstr>
      <vt:lpstr>'Sched-C'!Print_Area</vt:lpstr>
      <vt:lpstr>'Sched-D1'!Print_Area</vt:lpstr>
      <vt:lpstr>'Sched-D2'!Print_Area</vt:lpstr>
      <vt:lpstr>'Sched-E'!Print_Area</vt:lpstr>
      <vt:lpstr>'Sched-F-G'!Print_Area</vt:lpstr>
      <vt:lpstr>'Summary-Sched-E'!Print_Area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Cost of Care</dc:title>
  <dc:subject>DOC Cost of Care</dc:subject>
  <cp:lastPrinted>2025-12-31T21:08:04Z</cp:lastPrinted>
  <dcterms:created xsi:type="dcterms:W3CDTF">1998-10-01T18:59:57Z</dcterms:created>
  <dcterms:modified xsi:type="dcterms:W3CDTF">2025-12-31T21:08:18Z</dcterms:modified>
</cp:coreProperties>
</file>