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xr:revisionPtr revIDLastSave="0" documentId="13_ncr:1_{E1819CB1-9710-4F92-98F6-C035388242EB}" xr6:coauthVersionLast="47" xr6:coauthVersionMax="47" xr10:uidLastSave="{00000000-0000-0000-0000-000000000000}"/>
  <bookViews>
    <workbookView xWindow="-120" yWindow="-120" windowWidth="29040" windowHeight="15720" tabRatio="946" xr2:uid="{00000000-000D-0000-FFFF-FFFF00000000}"/>
  </bookViews>
  <sheets>
    <sheet name="Daily Cost Calc" sheetId="18" r:id="rId1"/>
    <sheet name="Sched-A" sheetId="19" r:id="rId2"/>
    <sheet name="Sched-B1" sheetId="2" r:id="rId3"/>
    <sheet name="Sched-B2" sheetId="1" r:id="rId4"/>
    <sheet name="Sched-C" sheetId="3" r:id="rId5"/>
    <sheet name="Sched-D1" sheetId="4" r:id="rId6"/>
    <sheet name="Sched-D2" sheetId="21" r:id="rId7"/>
    <sheet name="Sched-E" sheetId="5" r:id="rId8"/>
    <sheet name="Summary-Sched-E" sheetId="27" r:id="rId9"/>
    <sheet name="Sched-F-G" sheetId="6" r:id="rId10"/>
    <sheet name="Property Inventory" sheetId="10" r:id="rId11"/>
    <sheet name="CostReim" sheetId="8" r:id="rId12"/>
    <sheet name="COST ALLOCATION" sheetId="11" r:id="rId13"/>
    <sheet name="BILLING RATE CALC" sheetId="16" r:id="rId14"/>
    <sheet name="Inmate Avg Daily Population" sheetId="12" r:id="rId15"/>
    <sheet name="Avg Daily Community Jails" sheetId="32" r:id="rId16"/>
    <sheet name="IADP-By Gender" sheetId="28" r:id="rId17"/>
    <sheet name="Monthly PO Workload Stats" sheetId="30" r:id="rId18"/>
    <sheet name="Qtrly's-Cntsht Book" sheetId="24" r:id="rId19"/>
    <sheet name="CRC Avg Info by FY" sheetId="26" r:id="rId20"/>
    <sheet name="COC 2016-2019 COMPARISON" sheetId="23" r:id="rId21"/>
    <sheet name="Sheet1" sheetId="31" r:id="rId22"/>
  </sheets>
  <definedNames>
    <definedName name="_xlnm._FilterDatabase" localSheetId="10" hidden="1">'Property Inventory'!$A$2:$G$62</definedName>
    <definedName name="_xlnm.Print_Area" localSheetId="15">'Avg Daily Community Jails'!#REF!</definedName>
    <definedName name="_xlnm.Print_Area" localSheetId="13">'BILLING RATE CALC'!$A$1:$K$41</definedName>
    <definedName name="_xlnm.Print_Area" localSheetId="20">'COC 2016-2019 COMPARISON'!$A$1:$BA$23</definedName>
    <definedName name="_xlnm.Print_Area" localSheetId="12">'COST ALLOCATION'!$A$1:$J$57</definedName>
    <definedName name="_xlnm.Print_Area" localSheetId="11">CostReim!$A$1:$F$31</definedName>
    <definedName name="_xlnm.Print_Area" localSheetId="19">'CRC Avg Info by FY'!$A$1:$O$27</definedName>
    <definedName name="_xlnm.Print_Area" localSheetId="0">'Daily Cost Calc'!$A$1:$B$41</definedName>
    <definedName name="_xlnm.Print_Area" localSheetId="16">'IADP-By Gender'!$A$1:$K$47</definedName>
    <definedName name="_xlnm.Print_Area" localSheetId="14">'Inmate Avg Daily Population'!$A$1:$O$28</definedName>
    <definedName name="_xlnm.Print_Area" localSheetId="17">'Monthly PO Workload Stats'!$A$292:$R$315</definedName>
    <definedName name="_xlnm.Print_Area" localSheetId="10">'Property Inventory'!$A$1:$G$60</definedName>
    <definedName name="_xlnm.Print_Area" localSheetId="18">'Qtrly''s-Cntsht Book'!$A$1:$Y$30</definedName>
    <definedName name="_xlnm.Print_Area" localSheetId="3">'Sched-B2'!$A$1:$E$225</definedName>
    <definedName name="_xlnm.Print_Area" localSheetId="4">'Sched-C'!$A$1:$D$25</definedName>
    <definedName name="_xlnm.Print_Area" localSheetId="5">'Sched-D1'!$A$1:$F$661</definedName>
    <definedName name="_xlnm.Print_Area" localSheetId="6">'Sched-D2'!$A$1:$F$134</definedName>
    <definedName name="_xlnm.Print_Area" localSheetId="7">'Sched-E'!$A$1:$E$7</definedName>
    <definedName name="_xlnm.Print_Area" localSheetId="9">'Sched-F-G'!$A$1:$E$41</definedName>
    <definedName name="_xlnm.Print_Area" localSheetId="8">'Summary-Sched-E'!$A$1:$E$13</definedName>
    <definedName name="_xlnm.Print_Titles" localSheetId="12">'COST ALLOCATION'!$2:$2</definedName>
    <definedName name="_xlnm.Print_Titles" localSheetId="10">'Property Inventory'!$2:$2</definedName>
    <definedName name="_xlnm.Print_Titles" localSheetId="3">'Sched-B2'!$1:$2</definedName>
    <definedName name="_xlnm.Print_Titles" localSheetId="5">'Sched-D1'!$1:$2</definedName>
    <definedName name="_xlnm.Print_Titles" localSheetId="6">'Sched-D2'!$2:$2</definedName>
    <definedName name="_xlnm.Print_Titles" localSheetId="7">'Sched-E'!$1:$2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6" i="1" l="1"/>
  <c r="F54" i="11"/>
  <c r="E225" i="1"/>
  <c r="G224" i="1"/>
  <c r="H224" i="1"/>
  <c r="B32" i="6"/>
  <c r="F55" i="11"/>
  <c r="D12" i="8" l="1"/>
  <c r="F21" i="11"/>
  <c r="D21" i="8"/>
  <c r="F11" i="11"/>
  <c r="E7" i="16" s="1"/>
  <c r="H44" i="21"/>
  <c r="H192" i="4" l="1"/>
  <c r="E192" i="4"/>
  <c r="E244" i="4" l="1"/>
  <c r="G32" i="11"/>
  <c r="E11" i="16"/>
  <c r="C3" i="27"/>
  <c r="C10" i="27" s="1"/>
  <c r="C3" i="5" s="1"/>
  <c r="P38" i="32" l="1"/>
  <c r="O38" i="32"/>
  <c r="N38" i="32"/>
  <c r="M38" i="32"/>
  <c r="L38" i="32"/>
  <c r="K38" i="32"/>
  <c r="J38" i="32"/>
  <c r="I38" i="32"/>
  <c r="H38" i="32"/>
  <c r="G38" i="32"/>
  <c r="F38" i="32"/>
  <c r="E38" i="32"/>
  <c r="D38" i="32"/>
  <c r="C38" i="32"/>
  <c r="B38" i="32"/>
  <c r="P37" i="32"/>
  <c r="O37" i="32"/>
  <c r="N37" i="32"/>
  <c r="M37" i="32"/>
  <c r="L37" i="32"/>
  <c r="K37" i="32"/>
  <c r="J37" i="32"/>
  <c r="I37" i="32"/>
  <c r="H37" i="32"/>
  <c r="G37" i="32"/>
  <c r="F37" i="32"/>
  <c r="E37" i="32"/>
  <c r="D37" i="32"/>
  <c r="C37" i="32"/>
  <c r="B37" i="32"/>
  <c r="Q23" i="32"/>
  <c r="P19" i="32"/>
  <c r="O19" i="32"/>
  <c r="N19" i="32"/>
  <c r="M19" i="32"/>
  <c r="L19" i="32"/>
  <c r="K19" i="32"/>
  <c r="J19" i="32"/>
  <c r="I19" i="32"/>
  <c r="H19" i="32"/>
  <c r="G19" i="32"/>
  <c r="F19" i="32"/>
  <c r="E19" i="32"/>
  <c r="D19" i="32"/>
  <c r="C19" i="32"/>
  <c r="B19" i="32"/>
  <c r="P18" i="32"/>
  <c r="O18" i="32"/>
  <c r="N18" i="32"/>
  <c r="M18" i="32"/>
  <c r="L18" i="32"/>
  <c r="K18" i="32"/>
  <c r="J18" i="32"/>
  <c r="I18" i="32"/>
  <c r="H18" i="32"/>
  <c r="G18" i="32"/>
  <c r="F18" i="32"/>
  <c r="E18" i="32"/>
  <c r="D18" i="32"/>
  <c r="C18" i="32"/>
  <c r="B18" i="32"/>
  <c r="Q4" i="32"/>
  <c r="Q38" i="32" l="1"/>
  <c r="B40" i="32" s="1"/>
  <c r="H41" i="32" s="1"/>
  <c r="B25" i="18" s="1"/>
  <c r="Q19" i="32"/>
  <c r="G47" i="28"/>
  <c r="F47" i="28"/>
  <c r="E47" i="28"/>
  <c r="D47" i="28"/>
  <c r="C47" i="28"/>
  <c r="B47" i="28"/>
  <c r="H47" i="28" s="1"/>
  <c r="H46" i="28"/>
  <c r="H45" i="28"/>
  <c r="H44" i="28"/>
  <c r="H43" i="28"/>
  <c r="G42" i="28"/>
  <c r="F42" i="28"/>
  <c r="E42" i="28"/>
  <c r="D42" i="28"/>
  <c r="C42" i="28"/>
  <c r="B42" i="28"/>
  <c r="H41" i="28"/>
  <c r="H40" i="28"/>
  <c r="H39" i="28"/>
  <c r="H38" i="28"/>
  <c r="H37" i="28"/>
  <c r="H36" i="28"/>
  <c r="H35" i="28"/>
  <c r="H34" i="28"/>
  <c r="H33" i="28"/>
  <c r="H32" i="28"/>
  <c r="G31" i="28"/>
  <c r="F31" i="28"/>
  <c r="E31" i="28"/>
  <c r="D31" i="28"/>
  <c r="C31" i="28"/>
  <c r="B31" i="28"/>
  <c r="H30" i="28"/>
  <c r="H29" i="28"/>
  <c r="H28" i="28"/>
  <c r="H27" i="28"/>
  <c r="H26" i="28"/>
  <c r="H25" i="28"/>
  <c r="H24" i="28"/>
  <c r="H23" i="28"/>
  <c r="H22" i="28"/>
  <c r="H21" i="28"/>
  <c r="H20" i="28"/>
  <c r="G19" i="28"/>
  <c r="F19" i="28"/>
  <c r="E19" i="28"/>
  <c r="D19" i="28"/>
  <c r="C19" i="28"/>
  <c r="B19" i="28"/>
  <c r="H18" i="28"/>
  <c r="H17" i="28"/>
  <c r="H16" i="28"/>
  <c r="H15" i="28"/>
  <c r="H14" i="28"/>
  <c r="H13" i="28"/>
  <c r="H12" i="28"/>
  <c r="H11" i="28"/>
  <c r="H10" i="28"/>
  <c r="H9" i="28"/>
  <c r="H8" i="28"/>
  <c r="H7" i="28"/>
  <c r="H6" i="28"/>
  <c r="H5" i="28"/>
  <c r="H4" i="28"/>
  <c r="J19" i="28" l="1"/>
  <c r="F29" i="19" s="1"/>
  <c r="H19" i="28"/>
  <c r="H31" i="28"/>
  <c r="H42" i="28"/>
  <c r="O313" i="30"/>
  <c r="N313" i="30"/>
  <c r="M313" i="30"/>
  <c r="L313" i="30"/>
  <c r="K313" i="30"/>
  <c r="J313" i="30"/>
  <c r="I313" i="30"/>
  <c r="H313" i="30"/>
  <c r="G313" i="30"/>
  <c r="F313" i="30"/>
  <c r="E313" i="30"/>
  <c r="D313" i="30"/>
  <c r="C313" i="30"/>
  <c r="N312" i="30"/>
  <c r="M312" i="30"/>
  <c r="L312" i="30"/>
  <c r="K312" i="30"/>
  <c r="J312" i="30"/>
  <c r="I312" i="30"/>
  <c r="H312" i="30"/>
  <c r="G312" i="30"/>
  <c r="F312" i="30"/>
  <c r="E312" i="30"/>
  <c r="D312" i="30"/>
  <c r="C312" i="30"/>
  <c r="N311" i="30"/>
  <c r="M311" i="30"/>
  <c r="L311" i="30"/>
  <c r="K311" i="30"/>
  <c r="J311" i="30"/>
  <c r="I311" i="30"/>
  <c r="H311" i="30"/>
  <c r="G311" i="30"/>
  <c r="F311" i="30"/>
  <c r="E311" i="30"/>
  <c r="D311" i="30"/>
  <c r="C311" i="30"/>
  <c r="N310" i="30"/>
  <c r="M310" i="30"/>
  <c r="L310" i="30"/>
  <c r="K310" i="30"/>
  <c r="J310" i="30"/>
  <c r="I310" i="30"/>
  <c r="H310" i="30"/>
  <c r="G310" i="30"/>
  <c r="F310" i="30"/>
  <c r="E310" i="30"/>
  <c r="D310" i="30"/>
  <c r="C310" i="30"/>
  <c r="N309" i="30"/>
  <c r="M309" i="30"/>
  <c r="L309" i="30"/>
  <c r="K309" i="30"/>
  <c r="J309" i="30"/>
  <c r="I309" i="30"/>
  <c r="H309" i="30"/>
  <c r="G309" i="30"/>
  <c r="F309" i="30"/>
  <c r="E309" i="30"/>
  <c r="D309" i="30"/>
  <c r="C309" i="30"/>
  <c r="N308" i="30"/>
  <c r="M308" i="30"/>
  <c r="L308" i="30"/>
  <c r="K308" i="30"/>
  <c r="J308" i="30"/>
  <c r="I308" i="30"/>
  <c r="H308" i="30"/>
  <c r="G308" i="30"/>
  <c r="F308" i="30"/>
  <c r="E308" i="30"/>
  <c r="D308" i="30"/>
  <c r="C308" i="30"/>
  <c r="N307" i="30"/>
  <c r="M307" i="30"/>
  <c r="L307" i="30"/>
  <c r="K307" i="30"/>
  <c r="J307" i="30"/>
  <c r="I307" i="30"/>
  <c r="H307" i="30"/>
  <c r="G307" i="30"/>
  <c r="F307" i="30"/>
  <c r="E307" i="30"/>
  <c r="D307" i="30"/>
  <c r="C307" i="30"/>
  <c r="N306" i="30"/>
  <c r="M306" i="30"/>
  <c r="L306" i="30"/>
  <c r="K306" i="30"/>
  <c r="J306" i="30"/>
  <c r="I306" i="30"/>
  <c r="H306" i="30"/>
  <c r="G306" i="30"/>
  <c r="F306" i="30"/>
  <c r="E306" i="30"/>
  <c r="D306" i="30"/>
  <c r="C306" i="30"/>
  <c r="N305" i="30"/>
  <c r="M305" i="30"/>
  <c r="L305" i="30"/>
  <c r="K305" i="30"/>
  <c r="J305" i="30"/>
  <c r="I305" i="30"/>
  <c r="H305" i="30"/>
  <c r="G305" i="30"/>
  <c r="F305" i="30"/>
  <c r="E305" i="30"/>
  <c r="D305" i="30"/>
  <c r="C305" i="30"/>
  <c r="N304" i="30"/>
  <c r="M304" i="30"/>
  <c r="L304" i="30"/>
  <c r="K304" i="30"/>
  <c r="J304" i="30"/>
  <c r="I304" i="30"/>
  <c r="H304" i="30"/>
  <c r="G304" i="30"/>
  <c r="F304" i="30"/>
  <c r="E304" i="30"/>
  <c r="D304" i="30"/>
  <c r="C304" i="30"/>
  <c r="N303" i="30"/>
  <c r="M303" i="30"/>
  <c r="L303" i="30"/>
  <c r="K303" i="30"/>
  <c r="J303" i="30"/>
  <c r="I303" i="30"/>
  <c r="H303" i="30"/>
  <c r="G303" i="30"/>
  <c r="F303" i="30"/>
  <c r="E303" i="30"/>
  <c r="D303" i="30"/>
  <c r="C303" i="30"/>
  <c r="N302" i="30"/>
  <c r="M302" i="30"/>
  <c r="L302" i="30"/>
  <c r="K302" i="30"/>
  <c r="J302" i="30"/>
  <c r="I302" i="30"/>
  <c r="H302" i="30"/>
  <c r="G302" i="30"/>
  <c r="F302" i="30"/>
  <c r="E302" i="30"/>
  <c r="D302" i="30"/>
  <c r="C302" i="30"/>
  <c r="N301" i="30"/>
  <c r="M301" i="30"/>
  <c r="L301" i="30"/>
  <c r="K301" i="30"/>
  <c r="J301" i="30"/>
  <c r="I301" i="30"/>
  <c r="H301" i="30"/>
  <c r="G301" i="30"/>
  <c r="F301" i="30"/>
  <c r="E301" i="30"/>
  <c r="D301" i="30"/>
  <c r="C301" i="30"/>
  <c r="N300" i="30"/>
  <c r="M300" i="30"/>
  <c r="L300" i="30"/>
  <c r="K300" i="30"/>
  <c r="J300" i="30"/>
  <c r="I300" i="30"/>
  <c r="H300" i="30"/>
  <c r="G300" i="30"/>
  <c r="F300" i="30"/>
  <c r="E300" i="30"/>
  <c r="D300" i="30"/>
  <c r="C300" i="30"/>
  <c r="N299" i="30"/>
  <c r="M299" i="30"/>
  <c r="L299" i="30"/>
  <c r="K299" i="30"/>
  <c r="J299" i="30"/>
  <c r="I299" i="30"/>
  <c r="H299" i="30"/>
  <c r="G299" i="30"/>
  <c r="F299" i="30"/>
  <c r="E299" i="30"/>
  <c r="D299" i="30"/>
  <c r="C299" i="30"/>
  <c r="N298" i="30"/>
  <c r="M298" i="30"/>
  <c r="L298" i="30"/>
  <c r="K298" i="30"/>
  <c r="J298" i="30"/>
  <c r="I298" i="30"/>
  <c r="H298" i="30"/>
  <c r="G298" i="30"/>
  <c r="F298" i="30"/>
  <c r="E298" i="30"/>
  <c r="D298" i="30"/>
  <c r="C298" i="30"/>
  <c r="N297" i="30"/>
  <c r="M297" i="30"/>
  <c r="L297" i="30"/>
  <c r="K297" i="30"/>
  <c r="J297" i="30"/>
  <c r="I297" i="30"/>
  <c r="H297" i="30"/>
  <c r="G297" i="30"/>
  <c r="F297" i="30"/>
  <c r="E297" i="30"/>
  <c r="D297" i="30"/>
  <c r="C297" i="30"/>
  <c r="N296" i="30"/>
  <c r="M296" i="30"/>
  <c r="L296" i="30"/>
  <c r="K296" i="30"/>
  <c r="J296" i="30"/>
  <c r="I296" i="30"/>
  <c r="H296" i="30"/>
  <c r="G296" i="30"/>
  <c r="F296" i="30"/>
  <c r="E296" i="30"/>
  <c r="D296" i="30"/>
  <c r="C296" i="30"/>
  <c r="N295" i="30"/>
  <c r="M295" i="30"/>
  <c r="L295" i="30"/>
  <c r="K295" i="30"/>
  <c r="J295" i="30"/>
  <c r="I295" i="30"/>
  <c r="H295" i="30"/>
  <c r="G295" i="30"/>
  <c r="F295" i="30"/>
  <c r="E295" i="30"/>
  <c r="D295" i="30"/>
  <c r="C295" i="30"/>
  <c r="N294" i="30"/>
  <c r="M294" i="30"/>
  <c r="L294" i="30"/>
  <c r="K294" i="30"/>
  <c r="J294" i="30"/>
  <c r="I294" i="30"/>
  <c r="H294" i="30"/>
  <c r="G294" i="30"/>
  <c r="F294" i="30"/>
  <c r="E294" i="30"/>
  <c r="D294" i="30"/>
  <c r="C294" i="30"/>
  <c r="O290" i="30"/>
  <c r="P290" i="30" s="1"/>
  <c r="Q290" i="30" s="1"/>
  <c r="O289" i="30"/>
  <c r="P289" i="30" s="1"/>
  <c r="Q289" i="30" s="1"/>
  <c r="O288" i="30"/>
  <c r="O287" i="30"/>
  <c r="P288" i="30" s="1"/>
  <c r="Q288" i="30" s="1"/>
  <c r="O286" i="30"/>
  <c r="O285" i="30"/>
  <c r="O284" i="30"/>
  <c r="O283" i="30"/>
  <c r="O282" i="30"/>
  <c r="O279" i="30"/>
  <c r="O278" i="30"/>
  <c r="O277" i="30"/>
  <c r="O276" i="30"/>
  <c r="O275" i="30"/>
  <c r="P276" i="30" s="1"/>
  <c r="Q276" i="30" s="1"/>
  <c r="O274" i="30"/>
  <c r="P274" i="30" s="1"/>
  <c r="Q274" i="30" s="1"/>
  <c r="O273" i="30"/>
  <c r="O272" i="30"/>
  <c r="O271" i="30"/>
  <c r="O270" i="30"/>
  <c r="O269" i="30"/>
  <c r="O268" i="30"/>
  <c r="O267" i="30"/>
  <c r="O266" i="30"/>
  <c r="P266" i="30" s="1"/>
  <c r="Q266" i="30" s="1"/>
  <c r="O265" i="30"/>
  <c r="O264" i="30"/>
  <c r="O263" i="30"/>
  <c r="O262" i="30"/>
  <c r="O261" i="30"/>
  <c r="O257" i="30"/>
  <c r="O256" i="30"/>
  <c r="O255" i="30"/>
  <c r="O254" i="30"/>
  <c r="O253" i="30"/>
  <c r="O252" i="30"/>
  <c r="O251" i="30"/>
  <c r="O250" i="30"/>
  <c r="O249" i="30"/>
  <c r="O248" i="30"/>
  <c r="O247" i="30"/>
  <c r="O246" i="30"/>
  <c r="O245" i="30"/>
  <c r="O244" i="30"/>
  <c r="O243" i="30"/>
  <c r="O242" i="30"/>
  <c r="O241" i="30"/>
  <c r="O240" i="30"/>
  <c r="O239" i="30"/>
  <c r="O236" i="30"/>
  <c r="O235" i="30"/>
  <c r="O234" i="30"/>
  <c r="O233" i="30"/>
  <c r="O232" i="30"/>
  <c r="O231" i="30"/>
  <c r="O230" i="30"/>
  <c r="O229" i="30"/>
  <c r="O228" i="30"/>
  <c r="O227" i="30"/>
  <c r="O226" i="30"/>
  <c r="O225" i="30"/>
  <c r="O224" i="30"/>
  <c r="O223" i="30"/>
  <c r="O222" i="30"/>
  <c r="P223" i="30" s="1"/>
  <c r="Q223" i="30" s="1"/>
  <c r="O221" i="30"/>
  <c r="P221" i="30" s="1"/>
  <c r="Q221" i="30" s="1"/>
  <c r="O220" i="30"/>
  <c r="O219" i="30"/>
  <c r="O218" i="30"/>
  <c r="O214" i="30"/>
  <c r="O213" i="30"/>
  <c r="O212" i="30"/>
  <c r="O211" i="30"/>
  <c r="O210" i="30"/>
  <c r="O209" i="30"/>
  <c r="O208" i="30"/>
  <c r="O207" i="30"/>
  <c r="O206" i="30"/>
  <c r="O205" i="30"/>
  <c r="P206" i="30" s="1"/>
  <c r="Q206" i="30" s="1"/>
  <c r="O204" i="30"/>
  <c r="P204" i="30" s="1"/>
  <c r="Q204" i="30" s="1"/>
  <c r="O203" i="30"/>
  <c r="O202" i="30"/>
  <c r="O201" i="30"/>
  <c r="O200" i="30"/>
  <c r="O199" i="30"/>
  <c r="O198" i="30"/>
  <c r="O197" i="30"/>
  <c r="O196" i="30"/>
  <c r="O193" i="30"/>
  <c r="O192" i="30"/>
  <c r="O191" i="30"/>
  <c r="O190" i="30"/>
  <c r="O189" i="30"/>
  <c r="P190" i="30" s="1"/>
  <c r="Q190" i="30" s="1"/>
  <c r="P188" i="30"/>
  <c r="Q188" i="30" s="1"/>
  <c r="O188" i="30"/>
  <c r="O187" i="30"/>
  <c r="O186" i="30"/>
  <c r="O185" i="30"/>
  <c r="P186" i="30" s="1"/>
  <c r="Q186" i="30" s="1"/>
  <c r="O184" i="30"/>
  <c r="O183" i="30"/>
  <c r="O182" i="30"/>
  <c r="O181" i="30"/>
  <c r="P181" i="30" s="1"/>
  <c r="Q181" i="30" s="1"/>
  <c r="O180" i="30"/>
  <c r="P180" i="30" s="1"/>
  <c r="Q180" i="30" s="1"/>
  <c r="O179" i="30"/>
  <c r="O178" i="30"/>
  <c r="O177" i="30"/>
  <c r="O176" i="30"/>
  <c r="O175" i="30"/>
  <c r="P176" i="30" s="1"/>
  <c r="Q176" i="30" s="1"/>
  <c r="O171" i="30"/>
  <c r="P171" i="30" s="1"/>
  <c r="Q171" i="30" s="1"/>
  <c r="O170" i="30"/>
  <c r="O169" i="30"/>
  <c r="O168" i="30"/>
  <c r="O167" i="30"/>
  <c r="O166" i="30"/>
  <c r="O165" i="30"/>
  <c r="P165" i="30" s="1"/>
  <c r="Q165" i="30" s="1"/>
  <c r="O164" i="30"/>
  <c r="O163" i="30"/>
  <c r="P163" i="30" s="1"/>
  <c r="Q163" i="30" s="1"/>
  <c r="O162" i="30"/>
  <c r="O161" i="30"/>
  <c r="O160" i="30"/>
  <c r="O159" i="30"/>
  <c r="P159" i="30" s="1"/>
  <c r="Q159" i="30" s="1"/>
  <c r="O158" i="30"/>
  <c r="O157" i="30"/>
  <c r="O156" i="30"/>
  <c r="O155" i="30"/>
  <c r="P155" i="30" s="1"/>
  <c r="Q155" i="30" s="1"/>
  <c r="O154" i="30"/>
  <c r="O153" i="30"/>
  <c r="O150" i="30"/>
  <c r="O149" i="30"/>
  <c r="O148" i="30"/>
  <c r="O147" i="30"/>
  <c r="O146" i="30"/>
  <c r="O145" i="30"/>
  <c r="O144" i="30"/>
  <c r="O143" i="30"/>
  <c r="O142" i="30"/>
  <c r="O141" i="30"/>
  <c r="O140" i="30"/>
  <c r="O139" i="30"/>
  <c r="O138" i="30"/>
  <c r="O137" i="30"/>
  <c r="O136" i="30"/>
  <c r="O135" i="30"/>
  <c r="O134" i="30"/>
  <c r="O133" i="30"/>
  <c r="O132" i="30"/>
  <c r="O128" i="30"/>
  <c r="O127" i="30"/>
  <c r="O126" i="30"/>
  <c r="O125" i="30"/>
  <c r="O124" i="30"/>
  <c r="O123" i="30"/>
  <c r="O122" i="30"/>
  <c r="O121" i="30"/>
  <c r="O120" i="30"/>
  <c r="O119" i="30"/>
  <c r="O118" i="30"/>
  <c r="O117" i="30"/>
  <c r="O116" i="30"/>
  <c r="O115" i="30"/>
  <c r="O114" i="30"/>
  <c r="O113" i="30"/>
  <c r="O112" i="30"/>
  <c r="O111" i="30"/>
  <c r="O110" i="30"/>
  <c r="O107" i="30"/>
  <c r="O106" i="30"/>
  <c r="O105" i="30"/>
  <c r="O104" i="30"/>
  <c r="O103" i="30"/>
  <c r="P103" i="30" s="1"/>
  <c r="Q103" i="30" s="1"/>
  <c r="O102" i="30"/>
  <c r="P102" i="30" s="1"/>
  <c r="Q102" i="30" s="1"/>
  <c r="O101" i="30"/>
  <c r="P101" i="30" s="1"/>
  <c r="Q101" i="30" s="1"/>
  <c r="O100" i="30"/>
  <c r="O99" i="30"/>
  <c r="O98" i="30"/>
  <c r="O97" i="30"/>
  <c r="P97" i="30" s="1"/>
  <c r="Q97" i="30" s="1"/>
  <c r="O96" i="30"/>
  <c r="O95" i="30"/>
  <c r="O94" i="30"/>
  <c r="P94" i="30" s="1"/>
  <c r="Q94" i="30" s="1"/>
  <c r="O93" i="30"/>
  <c r="O92" i="30"/>
  <c r="O91" i="30"/>
  <c r="O90" i="30"/>
  <c r="P90" i="30" s="1"/>
  <c r="Q90" i="30" s="1"/>
  <c r="O89" i="30"/>
  <c r="O85" i="30"/>
  <c r="O84" i="30"/>
  <c r="O83" i="30"/>
  <c r="O82" i="30"/>
  <c r="O81" i="30"/>
  <c r="O80" i="30"/>
  <c r="O79" i="30"/>
  <c r="O78" i="30"/>
  <c r="O77" i="30"/>
  <c r="O76" i="30"/>
  <c r="O75" i="30"/>
  <c r="O74" i="30"/>
  <c r="O73" i="30"/>
  <c r="O72" i="30"/>
  <c r="O71" i="30"/>
  <c r="O70" i="30"/>
  <c r="O69" i="30"/>
  <c r="O68" i="30"/>
  <c r="O67" i="30"/>
  <c r="O64" i="30"/>
  <c r="O63" i="30"/>
  <c r="O62" i="30"/>
  <c r="O61" i="30"/>
  <c r="O60" i="30"/>
  <c r="O59" i="30"/>
  <c r="O58" i="30"/>
  <c r="O57" i="30"/>
  <c r="P57" i="30" s="1"/>
  <c r="Q57" i="30" s="1"/>
  <c r="O56" i="30"/>
  <c r="O55" i="30"/>
  <c r="O54" i="30"/>
  <c r="O53" i="30"/>
  <c r="P53" i="30" s="1"/>
  <c r="Q53" i="30" s="1"/>
  <c r="O52" i="30"/>
  <c r="O51" i="30"/>
  <c r="O50" i="30"/>
  <c r="O49" i="30"/>
  <c r="P50" i="30" s="1"/>
  <c r="Q50" i="30" s="1"/>
  <c r="O48" i="30"/>
  <c r="O47" i="30"/>
  <c r="O46" i="30"/>
  <c r="O42" i="30"/>
  <c r="O41" i="30"/>
  <c r="O40" i="30"/>
  <c r="P40" i="30" s="1"/>
  <c r="Q40" i="30" s="1"/>
  <c r="O39" i="30"/>
  <c r="O38" i="30"/>
  <c r="O37" i="30"/>
  <c r="P38" i="30" s="1"/>
  <c r="Q38" i="30" s="1"/>
  <c r="O36" i="30"/>
  <c r="P36" i="30" s="1"/>
  <c r="Q36" i="30" s="1"/>
  <c r="O35" i="30"/>
  <c r="O34" i="30"/>
  <c r="O33" i="30"/>
  <c r="O32" i="30"/>
  <c r="O31" i="30"/>
  <c r="O30" i="30"/>
  <c r="O29" i="30"/>
  <c r="O28" i="30"/>
  <c r="P28" i="30" s="1"/>
  <c r="Q28" i="30" s="1"/>
  <c r="O27" i="30"/>
  <c r="O26" i="30"/>
  <c r="O25" i="30"/>
  <c r="O24" i="30"/>
  <c r="O21" i="30"/>
  <c r="O20" i="30"/>
  <c r="P20" i="30" s="1"/>
  <c r="Q20" i="30" s="1"/>
  <c r="O19" i="30"/>
  <c r="O18" i="30"/>
  <c r="O17" i="30"/>
  <c r="O16" i="30"/>
  <c r="O15" i="30"/>
  <c r="O14" i="30"/>
  <c r="O13" i="30"/>
  <c r="P14" i="30" s="1"/>
  <c r="Q14" i="30" s="1"/>
  <c r="O12" i="30"/>
  <c r="P12" i="30" s="1"/>
  <c r="Q12" i="30" s="1"/>
  <c r="O11" i="30"/>
  <c r="O10" i="30"/>
  <c r="O9" i="30"/>
  <c r="O8" i="30"/>
  <c r="O7" i="30"/>
  <c r="O6" i="30"/>
  <c r="O5" i="30"/>
  <c r="O4" i="30"/>
  <c r="P4" i="30" s="1"/>
  <c r="Q4" i="30" s="1"/>
  <c r="O3" i="30"/>
  <c r="P8" i="30" l="1"/>
  <c r="Q8" i="30" s="1"/>
  <c r="P99" i="30"/>
  <c r="Q99" i="30" s="1"/>
  <c r="P253" i="30"/>
  <c r="Q253" i="30" s="1"/>
  <c r="P39" i="30"/>
  <c r="Q39" i="30" s="1"/>
  <c r="P55" i="30"/>
  <c r="Q55" i="30" s="1"/>
  <c r="P100" i="30"/>
  <c r="Q100" i="30" s="1"/>
  <c r="P98" i="30"/>
  <c r="Q98" i="30" s="1"/>
  <c r="P252" i="30"/>
  <c r="Q252" i="30" s="1"/>
  <c r="P85" i="30"/>
  <c r="Q85" i="30" s="1"/>
  <c r="P210" i="30"/>
  <c r="Q210" i="30" s="1"/>
  <c r="P227" i="30"/>
  <c r="Q227" i="30" s="1"/>
  <c r="P243" i="30"/>
  <c r="Q243" i="30" s="1"/>
  <c r="P262" i="30"/>
  <c r="Q262" i="30" s="1"/>
  <c r="P198" i="30"/>
  <c r="Q198" i="30" s="1"/>
  <c r="P168" i="30"/>
  <c r="Q168" i="30" s="1"/>
  <c r="P247" i="30"/>
  <c r="Q247" i="30" s="1"/>
  <c r="P264" i="30"/>
  <c r="Q264" i="30" s="1"/>
  <c r="P229" i="30"/>
  <c r="Q229" i="30" s="1"/>
  <c r="P211" i="30"/>
  <c r="Q211" i="30" s="1"/>
  <c r="P47" i="30"/>
  <c r="Q47" i="30" s="1"/>
  <c r="P92" i="30"/>
  <c r="Q92" i="30" s="1"/>
  <c r="P212" i="30"/>
  <c r="Q212" i="30" s="1"/>
  <c r="P106" i="30"/>
  <c r="Q106" i="30" s="1"/>
  <c r="P16" i="30"/>
  <c r="Q16" i="30" s="1"/>
  <c r="P17" i="30"/>
  <c r="Q17" i="30" s="1"/>
  <c r="P33" i="30"/>
  <c r="Q33" i="30" s="1"/>
  <c r="P62" i="30"/>
  <c r="Q62" i="30" s="1"/>
  <c r="P156" i="30"/>
  <c r="Q156" i="30" s="1"/>
  <c r="P201" i="30"/>
  <c r="Q201" i="30" s="1"/>
  <c r="P219" i="30"/>
  <c r="Q219" i="30" s="1"/>
  <c r="P265" i="30"/>
  <c r="Q265" i="30" s="1"/>
  <c r="P279" i="30"/>
  <c r="Q279" i="30" s="1"/>
  <c r="P104" i="30"/>
  <c r="Q104" i="30" s="1"/>
  <c r="P105" i="30"/>
  <c r="Q105" i="30" s="1"/>
  <c r="P245" i="30"/>
  <c r="Q245" i="30" s="1"/>
  <c r="P32" i="30"/>
  <c r="Q32" i="30" s="1"/>
  <c r="P107" i="30"/>
  <c r="Q107" i="30" s="1"/>
  <c r="P95" i="30"/>
  <c r="Q95" i="30" s="1"/>
  <c r="P228" i="30"/>
  <c r="Q228" i="30" s="1"/>
  <c r="P167" i="30"/>
  <c r="Q167" i="30" s="1"/>
  <c r="P48" i="30"/>
  <c r="Q48" i="30" s="1"/>
  <c r="P61" i="30"/>
  <c r="Q61" i="30" s="1"/>
  <c r="P96" i="30"/>
  <c r="Q96" i="30" s="1"/>
  <c r="P251" i="30"/>
  <c r="Q251" i="30" s="1"/>
  <c r="P284" i="30"/>
  <c r="Q284" i="30" s="1"/>
  <c r="P25" i="30"/>
  <c r="Q25" i="30" s="1"/>
  <c r="P31" i="30"/>
  <c r="Q31" i="30" s="1"/>
  <c r="P72" i="30"/>
  <c r="Q72" i="30" s="1"/>
  <c r="P76" i="30"/>
  <c r="Q76" i="30" s="1"/>
  <c r="P84" i="30"/>
  <c r="Q84" i="30" s="1"/>
  <c r="P117" i="30"/>
  <c r="Q117" i="30" s="1"/>
  <c r="P125" i="30"/>
  <c r="Q125" i="30" s="1"/>
  <c r="P136" i="30"/>
  <c r="Q136" i="30" s="1"/>
  <c r="P144" i="30"/>
  <c r="Q144" i="30" s="1"/>
  <c r="P148" i="30"/>
  <c r="Q148" i="30" s="1"/>
  <c r="P154" i="30"/>
  <c r="Q154" i="30" s="1"/>
  <c r="P169" i="30"/>
  <c r="Q169" i="30" s="1"/>
  <c r="P179" i="30"/>
  <c r="Q179" i="30" s="1"/>
  <c r="P273" i="30"/>
  <c r="Q273" i="30" s="1"/>
  <c r="P30" i="30"/>
  <c r="Q30" i="30" s="1"/>
  <c r="P35" i="30"/>
  <c r="Q35" i="30" s="1"/>
  <c r="P37" i="30"/>
  <c r="Q37" i="30" s="1"/>
  <c r="P49" i="30"/>
  <c r="Q49" i="30" s="1"/>
  <c r="P52" i="30"/>
  <c r="Q52" i="30" s="1"/>
  <c r="P59" i="30"/>
  <c r="Q59" i="30" s="1"/>
  <c r="P64" i="30"/>
  <c r="Q64" i="30" s="1"/>
  <c r="P69" i="30"/>
  <c r="Q69" i="30" s="1"/>
  <c r="P73" i="30"/>
  <c r="Q73" i="30" s="1"/>
  <c r="P77" i="30"/>
  <c r="Q77" i="30" s="1"/>
  <c r="P81" i="30"/>
  <c r="Q81" i="30" s="1"/>
  <c r="P93" i="30"/>
  <c r="Q93" i="30" s="1"/>
  <c r="P133" i="30"/>
  <c r="Q133" i="30" s="1"/>
  <c r="P157" i="30"/>
  <c r="Q157" i="30" s="1"/>
  <c r="P160" i="30"/>
  <c r="Q160" i="30" s="1"/>
  <c r="P183" i="30"/>
  <c r="Q183" i="30" s="1"/>
  <c r="P187" i="30"/>
  <c r="Q187" i="30" s="1"/>
  <c r="P202" i="30"/>
  <c r="Q202" i="30" s="1"/>
  <c r="P277" i="30"/>
  <c r="Q277" i="30" s="1"/>
  <c r="P5" i="30"/>
  <c r="Q5" i="30" s="1"/>
  <c r="P9" i="30"/>
  <c r="Q9" i="30" s="1"/>
  <c r="P60" i="30"/>
  <c r="Q60" i="30" s="1"/>
  <c r="P80" i="30"/>
  <c r="Q80" i="30" s="1"/>
  <c r="P113" i="30"/>
  <c r="Q113" i="30" s="1"/>
  <c r="P121" i="30"/>
  <c r="Q121" i="30" s="1"/>
  <c r="P140" i="30"/>
  <c r="Q140" i="30" s="1"/>
  <c r="P193" i="30"/>
  <c r="Q193" i="30" s="1"/>
  <c r="P236" i="30"/>
  <c r="Q236" i="30" s="1"/>
  <c r="P269" i="30"/>
  <c r="Q269" i="30" s="1"/>
  <c r="P7" i="30"/>
  <c r="Q7" i="30" s="1"/>
  <c r="P11" i="30"/>
  <c r="Q11" i="30" s="1"/>
  <c r="P15" i="30"/>
  <c r="Q15" i="30" s="1"/>
  <c r="O312" i="30"/>
  <c r="P312" i="30" s="1"/>
  <c r="Q312" i="30" s="1"/>
  <c r="P27" i="30"/>
  <c r="Q27" i="30" s="1"/>
  <c r="P29" i="30"/>
  <c r="Q29" i="30" s="1"/>
  <c r="P42" i="30"/>
  <c r="Q42" i="30" s="1"/>
  <c r="P51" i="30"/>
  <c r="Q51" i="30" s="1"/>
  <c r="P56" i="30"/>
  <c r="Q56" i="30" s="1"/>
  <c r="P58" i="30"/>
  <c r="Q58" i="30" s="1"/>
  <c r="P70" i="30"/>
  <c r="Q70" i="30" s="1"/>
  <c r="P75" i="30"/>
  <c r="Q75" i="30" s="1"/>
  <c r="P79" i="30"/>
  <c r="Q79" i="30" s="1"/>
  <c r="P82" i="30"/>
  <c r="Q82" i="30" s="1"/>
  <c r="P91" i="30"/>
  <c r="Q91" i="30" s="1"/>
  <c r="P111" i="30"/>
  <c r="Q111" i="30" s="1"/>
  <c r="P115" i="30"/>
  <c r="Q115" i="30" s="1"/>
  <c r="P119" i="30"/>
  <c r="Q119" i="30" s="1"/>
  <c r="P123" i="30"/>
  <c r="Q123" i="30" s="1"/>
  <c r="P127" i="30"/>
  <c r="Q127" i="30" s="1"/>
  <c r="P134" i="30"/>
  <c r="Q134" i="30" s="1"/>
  <c r="P138" i="30"/>
  <c r="Q138" i="30" s="1"/>
  <c r="P142" i="30"/>
  <c r="Q142" i="30" s="1"/>
  <c r="P146" i="30"/>
  <c r="Q146" i="30" s="1"/>
  <c r="P150" i="30"/>
  <c r="Q150" i="30" s="1"/>
  <c r="P161" i="30"/>
  <c r="Q161" i="30" s="1"/>
  <c r="P164" i="30"/>
  <c r="Q164" i="30" s="1"/>
  <c r="P177" i="30"/>
  <c r="Q177" i="30" s="1"/>
  <c r="P191" i="30"/>
  <c r="Q191" i="30" s="1"/>
  <c r="P197" i="30"/>
  <c r="Q197" i="30" s="1"/>
  <c r="P203" i="30"/>
  <c r="Q203" i="30" s="1"/>
  <c r="P214" i="30"/>
  <c r="Q214" i="30" s="1"/>
  <c r="P220" i="30"/>
  <c r="Q220" i="30" s="1"/>
  <c r="P231" i="30"/>
  <c r="Q231" i="30" s="1"/>
  <c r="P235" i="30"/>
  <c r="Q235" i="30" s="1"/>
  <c r="P244" i="30"/>
  <c r="Q244" i="30" s="1"/>
  <c r="P255" i="30"/>
  <c r="Q255" i="30" s="1"/>
  <c r="P268" i="30"/>
  <c r="Q268" i="30" s="1"/>
  <c r="P272" i="30"/>
  <c r="Q272" i="30" s="1"/>
  <c r="O297" i="30"/>
  <c r="P297" i="30" s="1"/>
  <c r="O298" i="30"/>
  <c r="P298" i="30" s="1"/>
  <c r="Q298" i="30" s="1"/>
  <c r="O301" i="30"/>
  <c r="P301" i="30" s="1"/>
  <c r="O302" i="30"/>
  <c r="P302" i="30" s="1"/>
  <c r="Q302" i="30" s="1"/>
  <c r="O305" i="30"/>
  <c r="P305" i="30" s="1"/>
  <c r="Q305" i="30" s="1"/>
  <c r="O306" i="30"/>
  <c r="P306" i="30" s="1"/>
  <c r="Q306" i="30" s="1"/>
  <c r="P10" i="30"/>
  <c r="Q10" i="30" s="1"/>
  <c r="P83" i="30"/>
  <c r="Q83" i="30" s="1"/>
  <c r="P13" i="30"/>
  <c r="Q13" i="30" s="1"/>
  <c r="O310" i="30"/>
  <c r="P19" i="30"/>
  <c r="Q19" i="30" s="1"/>
  <c r="P26" i="30"/>
  <c r="Q26" i="30" s="1"/>
  <c r="P34" i="30"/>
  <c r="Q34" i="30" s="1"/>
  <c r="P21" i="30"/>
  <c r="Q21" i="30" s="1"/>
  <c r="P41" i="30"/>
  <c r="Q41" i="30" s="1"/>
  <c r="P54" i="30"/>
  <c r="Q54" i="30" s="1"/>
  <c r="P68" i="30"/>
  <c r="Q68" i="30" s="1"/>
  <c r="P71" i="30"/>
  <c r="Q71" i="30" s="1"/>
  <c r="O308" i="30"/>
  <c r="P18" i="30"/>
  <c r="Q18" i="30" s="1"/>
  <c r="O311" i="30"/>
  <c r="P78" i="30"/>
  <c r="Q78" i="30" s="1"/>
  <c r="P112" i="30"/>
  <c r="Q112" i="30" s="1"/>
  <c r="P114" i="30"/>
  <c r="Q114" i="30" s="1"/>
  <c r="P116" i="30"/>
  <c r="Q116" i="30" s="1"/>
  <c r="P118" i="30"/>
  <c r="Q118" i="30" s="1"/>
  <c r="P120" i="30"/>
  <c r="Q120" i="30" s="1"/>
  <c r="P122" i="30"/>
  <c r="Q122" i="30" s="1"/>
  <c r="P124" i="30"/>
  <c r="Q124" i="30" s="1"/>
  <c r="P126" i="30"/>
  <c r="Q126" i="30" s="1"/>
  <c r="P128" i="30"/>
  <c r="Q128" i="30" s="1"/>
  <c r="P137" i="30"/>
  <c r="Q137" i="30" s="1"/>
  <c r="P139" i="30"/>
  <c r="Q139" i="30" s="1"/>
  <c r="P145" i="30"/>
  <c r="Q145" i="30" s="1"/>
  <c r="P147" i="30"/>
  <c r="Q147" i="30" s="1"/>
  <c r="P158" i="30"/>
  <c r="Q158" i="30" s="1"/>
  <c r="P166" i="30"/>
  <c r="Q166" i="30" s="1"/>
  <c r="P199" i="30"/>
  <c r="Q199" i="30" s="1"/>
  <c r="P200" i="30"/>
  <c r="Q200" i="30" s="1"/>
  <c r="P240" i="30"/>
  <c r="Q240" i="30" s="1"/>
  <c r="P241" i="30"/>
  <c r="Q241" i="30" s="1"/>
  <c r="P256" i="30"/>
  <c r="Q256" i="30" s="1"/>
  <c r="P257" i="30"/>
  <c r="Q257" i="30" s="1"/>
  <c r="P6" i="30"/>
  <c r="Q6" i="30" s="1"/>
  <c r="O307" i="30"/>
  <c r="P63" i="30"/>
  <c r="Q63" i="30" s="1"/>
  <c r="P74" i="30"/>
  <c r="Q74" i="30" s="1"/>
  <c r="P135" i="30"/>
  <c r="Q135" i="30" s="1"/>
  <c r="P141" i="30"/>
  <c r="Q141" i="30" s="1"/>
  <c r="P143" i="30"/>
  <c r="Q143" i="30" s="1"/>
  <c r="P149" i="30"/>
  <c r="Q149" i="30" s="1"/>
  <c r="P162" i="30"/>
  <c r="Q162" i="30" s="1"/>
  <c r="P170" i="30"/>
  <c r="Q170" i="30" s="1"/>
  <c r="P178" i="30"/>
  <c r="Q178" i="30" s="1"/>
  <c r="P207" i="30"/>
  <c r="Q207" i="30" s="1"/>
  <c r="P208" i="30"/>
  <c r="Q208" i="30" s="1"/>
  <c r="P248" i="30"/>
  <c r="Q248" i="30" s="1"/>
  <c r="P249" i="30"/>
  <c r="Q249" i="30" s="1"/>
  <c r="P232" i="30"/>
  <c r="Q232" i="30" s="1"/>
  <c r="P233" i="30"/>
  <c r="Q233" i="30" s="1"/>
  <c r="P224" i="30"/>
  <c r="Q224" i="30" s="1"/>
  <c r="P225" i="30"/>
  <c r="Q225" i="30" s="1"/>
  <c r="P285" i="30"/>
  <c r="Q285" i="30" s="1"/>
  <c r="P286" i="30"/>
  <c r="Q286" i="30" s="1"/>
  <c r="O309" i="30"/>
  <c r="P182" i="30"/>
  <c r="Q182" i="30" s="1"/>
  <c r="P184" i="30"/>
  <c r="Q184" i="30" s="1"/>
  <c r="P192" i="30"/>
  <c r="Q192" i="30" s="1"/>
  <c r="P270" i="30"/>
  <c r="Q270" i="30" s="1"/>
  <c r="P278" i="30"/>
  <c r="Q278" i="30" s="1"/>
  <c r="O294" i="30"/>
  <c r="O295" i="30"/>
  <c r="P295" i="30" s="1"/>
  <c r="O299" i="30"/>
  <c r="P299" i="30" s="1"/>
  <c r="O303" i="30"/>
  <c r="P303" i="30" s="1"/>
  <c r="Q303" i="30" s="1"/>
  <c r="O296" i="30"/>
  <c r="P296" i="30" s="1"/>
  <c r="O300" i="30"/>
  <c r="P300" i="30" s="1"/>
  <c r="O304" i="30"/>
  <c r="P185" i="30"/>
  <c r="Q185" i="30" s="1"/>
  <c r="P189" i="30"/>
  <c r="Q189" i="30" s="1"/>
  <c r="P205" i="30"/>
  <c r="Q205" i="30" s="1"/>
  <c r="P209" i="30"/>
  <c r="Q209" i="30" s="1"/>
  <c r="P213" i="30"/>
  <c r="Q213" i="30" s="1"/>
  <c r="P222" i="30"/>
  <c r="Q222" i="30" s="1"/>
  <c r="P226" i="30"/>
  <c r="Q226" i="30" s="1"/>
  <c r="P230" i="30"/>
  <c r="Q230" i="30" s="1"/>
  <c r="P234" i="30"/>
  <c r="Q234" i="30" s="1"/>
  <c r="P242" i="30"/>
  <c r="Q242" i="30" s="1"/>
  <c r="P246" i="30"/>
  <c r="Q246" i="30" s="1"/>
  <c r="P250" i="30"/>
  <c r="Q250" i="30" s="1"/>
  <c r="P254" i="30"/>
  <c r="Q254" i="30" s="1"/>
  <c r="P263" i="30"/>
  <c r="Q263" i="30" s="1"/>
  <c r="P267" i="30"/>
  <c r="Q267" i="30" s="1"/>
  <c r="P271" i="30"/>
  <c r="Q271" i="30" s="1"/>
  <c r="P275" i="30"/>
  <c r="Q275" i="30" s="1"/>
  <c r="P283" i="30"/>
  <c r="Q283" i="30" s="1"/>
  <c r="P287" i="30"/>
  <c r="Q287" i="30" s="1"/>
  <c r="H135" i="21"/>
  <c r="E117" i="21"/>
  <c r="E113" i="21"/>
  <c r="E105" i="21"/>
  <c r="E87" i="21"/>
  <c r="D102" i="21"/>
  <c r="E101" i="21"/>
  <c r="E84" i="21"/>
  <c r="E83" i="21"/>
  <c r="E73" i="21"/>
  <c r="E64" i="21"/>
  <c r="E63" i="21"/>
  <c r="E50" i="21"/>
  <c r="E48" i="21"/>
  <c r="E47" i="21"/>
  <c r="E46" i="21"/>
  <c r="H61" i="21"/>
  <c r="H132" i="21" s="1"/>
  <c r="E43" i="21"/>
  <c r="E41" i="21"/>
  <c r="E30" i="21"/>
  <c r="E29" i="21"/>
  <c r="E20" i="21"/>
  <c r="E18" i="21"/>
  <c r="D17" i="3"/>
  <c r="D13" i="3"/>
  <c r="C17" i="3"/>
  <c r="C3" i="3"/>
  <c r="E607" i="4"/>
  <c r="E556" i="4"/>
  <c r="E502" i="4"/>
  <c r="E448" i="4"/>
  <c r="H301" i="4"/>
  <c r="E297" i="4"/>
  <c r="E191" i="4"/>
  <c r="P310" i="30" l="1"/>
  <c r="Q310" i="30" s="1"/>
  <c r="P309" i="30"/>
  <c r="Q309" i="30" s="1"/>
  <c r="B18" i="18"/>
  <c r="G314" i="30"/>
  <c r="P307" i="30"/>
  <c r="Q307" i="30" s="1"/>
  <c r="Q296" i="30"/>
  <c r="Q301" i="30"/>
  <c r="Q299" i="30"/>
  <c r="P304" i="30"/>
  <c r="Q304" i="30" s="1"/>
  <c r="R308" i="30" s="1"/>
  <c r="Q300" i="30"/>
  <c r="Q295" i="30"/>
  <c r="Q297" i="30"/>
  <c r="P308" i="30"/>
  <c r="Q308" i="30" s="1"/>
  <c r="P311" i="30"/>
  <c r="Q311" i="30" s="1"/>
  <c r="B7" i="2"/>
  <c r="E140" i="4"/>
  <c r="E45" i="4"/>
  <c r="E46" i="4"/>
  <c r="H46" i="4" s="1"/>
  <c r="H47" i="4" s="1"/>
  <c r="E42" i="4"/>
  <c r="E34" i="4"/>
  <c r="E35" i="4"/>
  <c r="F678" i="4"/>
  <c r="R311" i="30" l="1"/>
  <c r="R310" i="30"/>
  <c r="R303" i="30"/>
  <c r="R304" i="30"/>
  <c r="R301" i="30"/>
  <c r="R300" i="30"/>
  <c r="R299" i="30"/>
  <c r="R298" i="30"/>
  <c r="R297" i="30"/>
  <c r="R296" i="30"/>
  <c r="R309" i="30"/>
  <c r="R305" i="30"/>
  <c r="R302" i="30"/>
  <c r="R306" i="30"/>
  <c r="R312" i="30"/>
  <c r="R307" i="30"/>
  <c r="G22" i="10"/>
  <c r="G23" i="10"/>
  <c r="B16" i="6"/>
  <c r="B15" i="6"/>
  <c r="B14" i="6"/>
  <c r="B13" i="6"/>
  <c r="B12" i="6"/>
  <c r="B11" i="6"/>
  <c r="B10" i="6"/>
  <c r="B9" i="6"/>
  <c r="B8" i="6"/>
  <c r="B7" i="6"/>
  <c r="B6" i="6"/>
  <c r="B5" i="6"/>
  <c r="B4" i="6"/>
  <c r="G58" i="10"/>
  <c r="G57" i="10"/>
  <c r="G53" i="10"/>
  <c r="G56" i="10" l="1"/>
  <c r="F10" i="10"/>
  <c r="G20" i="10"/>
  <c r="G14" i="2" l="1"/>
  <c r="K21" i="12" l="1"/>
  <c r="L21" i="12"/>
  <c r="M21" i="12"/>
  <c r="K22" i="12"/>
  <c r="L22" i="12"/>
  <c r="M22" i="12"/>
  <c r="K23" i="12"/>
  <c r="L23" i="12"/>
  <c r="M23" i="12"/>
  <c r="K24" i="12"/>
  <c r="L24" i="12"/>
  <c r="M24" i="12"/>
  <c r="K25" i="12"/>
  <c r="L25" i="12"/>
  <c r="M25" i="12"/>
  <c r="L20" i="12"/>
  <c r="M20" i="12"/>
  <c r="K20" i="12"/>
  <c r="H21" i="12"/>
  <c r="I21" i="12"/>
  <c r="J21" i="12"/>
  <c r="H22" i="12"/>
  <c r="I22" i="12"/>
  <c r="H23" i="12"/>
  <c r="I23" i="12"/>
  <c r="J23" i="12"/>
  <c r="H24" i="12"/>
  <c r="I24" i="12"/>
  <c r="J24" i="12"/>
  <c r="H25" i="12"/>
  <c r="I25" i="12"/>
  <c r="J25" i="12"/>
  <c r="H20" i="12"/>
  <c r="G21" i="12"/>
  <c r="E22" i="12"/>
  <c r="F22" i="12"/>
  <c r="G22" i="12"/>
  <c r="E23" i="12"/>
  <c r="F23" i="12"/>
  <c r="G23" i="12"/>
  <c r="E24" i="12"/>
  <c r="F24" i="12"/>
  <c r="G24" i="12"/>
  <c r="E25" i="12"/>
  <c r="F25" i="12"/>
  <c r="G25" i="12"/>
  <c r="F20" i="12"/>
  <c r="G20" i="12"/>
  <c r="E20" i="12"/>
  <c r="B22" i="12"/>
  <c r="C22" i="12"/>
  <c r="D22" i="12"/>
  <c r="B23" i="12"/>
  <c r="C23" i="12"/>
  <c r="D23" i="12"/>
  <c r="B24" i="12"/>
  <c r="C24" i="12"/>
  <c r="D24" i="12"/>
  <c r="B25" i="12"/>
  <c r="C25" i="12"/>
  <c r="D25" i="12"/>
  <c r="C20" i="12"/>
  <c r="B20" i="12"/>
  <c r="K5" i="12"/>
  <c r="L5" i="12"/>
  <c r="M5" i="12"/>
  <c r="K6" i="12"/>
  <c r="L6" i="12"/>
  <c r="M6" i="12"/>
  <c r="K7" i="12"/>
  <c r="L7" i="12"/>
  <c r="M7" i="12"/>
  <c r="K8" i="12"/>
  <c r="L8" i="12"/>
  <c r="M8" i="12"/>
  <c r="K9" i="12"/>
  <c r="L9" i="12"/>
  <c r="M9" i="12"/>
  <c r="K10" i="12"/>
  <c r="L10" i="12"/>
  <c r="M10" i="12"/>
  <c r="K11" i="12"/>
  <c r="L11" i="12"/>
  <c r="M11" i="12"/>
  <c r="K12" i="12"/>
  <c r="L12" i="12"/>
  <c r="M12" i="12"/>
  <c r="K13" i="12"/>
  <c r="L13" i="12"/>
  <c r="M13" i="12"/>
  <c r="K14" i="12"/>
  <c r="L14" i="12"/>
  <c r="M14" i="12"/>
  <c r="K16" i="12"/>
  <c r="L16" i="12"/>
  <c r="M16" i="12"/>
  <c r="L4" i="12"/>
  <c r="M4" i="12"/>
  <c r="K4" i="12"/>
  <c r="H5" i="12"/>
  <c r="I5" i="12"/>
  <c r="J5" i="12"/>
  <c r="H6" i="12"/>
  <c r="I6" i="12"/>
  <c r="J6" i="12"/>
  <c r="H7" i="12"/>
  <c r="I7" i="12"/>
  <c r="J7" i="12"/>
  <c r="H8" i="12"/>
  <c r="I8" i="12"/>
  <c r="J8" i="12"/>
  <c r="H9" i="12"/>
  <c r="I9" i="12"/>
  <c r="J9" i="12"/>
  <c r="H10" i="12"/>
  <c r="I10" i="12"/>
  <c r="J10" i="12"/>
  <c r="H11" i="12"/>
  <c r="I11" i="12"/>
  <c r="J11" i="12"/>
  <c r="H12" i="12"/>
  <c r="I12" i="12"/>
  <c r="J12" i="12"/>
  <c r="H13" i="12"/>
  <c r="I13" i="12"/>
  <c r="J13" i="12"/>
  <c r="H14" i="12"/>
  <c r="I14" i="12"/>
  <c r="J14" i="12"/>
  <c r="H16" i="12"/>
  <c r="I16" i="12"/>
  <c r="J16" i="12"/>
  <c r="I4" i="12"/>
  <c r="J4" i="12"/>
  <c r="H4" i="12"/>
  <c r="E5" i="12"/>
  <c r="F5" i="12"/>
  <c r="G5" i="12"/>
  <c r="E6" i="12"/>
  <c r="F6" i="12"/>
  <c r="G6" i="12"/>
  <c r="E7" i="12"/>
  <c r="F7" i="12"/>
  <c r="G7" i="12"/>
  <c r="E8" i="12"/>
  <c r="F8" i="12"/>
  <c r="G8" i="12"/>
  <c r="E9" i="12"/>
  <c r="F9" i="12"/>
  <c r="G9" i="12"/>
  <c r="E10" i="12"/>
  <c r="F10" i="12"/>
  <c r="G10" i="12"/>
  <c r="E11" i="12"/>
  <c r="F11" i="12"/>
  <c r="G11" i="12"/>
  <c r="E12" i="12"/>
  <c r="F12" i="12"/>
  <c r="G12" i="12"/>
  <c r="E13" i="12"/>
  <c r="F13" i="12"/>
  <c r="G13" i="12"/>
  <c r="E14" i="12"/>
  <c r="F14" i="12"/>
  <c r="G14" i="12"/>
  <c r="E16" i="12"/>
  <c r="F16" i="12"/>
  <c r="G16" i="12"/>
  <c r="F4" i="12"/>
  <c r="G4" i="12"/>
  <c r="E4" i="12"/>
  <c r="B5" i="12"/>
  <c r="C5" i="12"/>
  <c r="D5" i="12"/>
  <c r="B6" i="12"/>
  <c r="C6" i="12"/>
  <c r="D6" i="12"/>
  <c r="B7" i="12"/>
  <c r="C7" i="12"/>
  <c r="D7" i="12"/>
  <c r="B8" i="12"/>
  <c r="C8" i="12"/>
  <c r="D8" i="12"/>
  <c r="B9" i="12"/>
  <c r="C9" i="12"/>
  <c r="D9" i="12"/>
  <c r="B10" i="12"/>
  <c r="C10" i="12"/>
  <c r="D10" i="12"/>
  <c r="B11" i="12"/>
  <c r="C11" i="12"/>
  <c r="D11" i="12"/>
  <c r="B12" i="12"/>
  <c r="C12" i="12"/>
  <c r="D12" i="12"/>
  <c r="B13" i="12"/>
  <c r="C13" i="12"/>
  <c r="D13" i="12"/>
  <c r="B14" i="12"/>
  <c r="C14" i="12"/>
  <c r="D14" i="12"/>
  <c r="B16" i="12"/>
  <c r="C16" i="12"/>
  <c r="D16" i="12"/>
  <c r="C4" i="12"/>
  <c r="D4" i="12"/>
  <c r="B4" i="12"/>
  <c r="L3" i="26" l="1"/>
  <c r="M3" i="26"/>
  <c r="K3" i="26"/>
  <c r="H3" i="26"/>
  <c r="F3" i="26"/>
  <c r="G3" i="26"/>
  <c r="E3" i="26"/>
  <c r="C3" i="26"/>
  <c r="B3" i="26"/>
  <c r="U28" i="24"/>
  <c r="T28" i="24"/>
  <c r="S28" i="24"/>
  <c r="V28" i="24" s="1"/>
  <c r="W28" i="24" s="1"/>
  <c r="N28" i="24"/>
  <c r="K28" i="24"/>
  <c r="J28" i="24"/>
  <c r="X27" i="24"/>
  <c r="Y27" i="24" s="1"/>
  <c r="V27" i="24"/>
  <c r="W27" i="24" s="1"/>
  <c r="Q27" i="24"/>
  <c r="R27" i="24" s="1"/>
  <c r="L27" i="24"/>
  <c r="M27" i="24" s="1"/>
  <c r="G27" i="24"/>
  <c r="H27" i="24" s="1"/>
  <c r="Y26" i="24"/>
  <c r="V26" i="24"/>
  <c r="W26" i="24" s="1"/>
  <c r="Q26" i="24"/>
  <c r="R26" i="24" s="1"/>
  <c r="L26" i="24"/>
  <c r="M26" i="24" s="1"/>
  <c r="G26" i="24"/>
  <c r="H26" i="24" s="1"/>
  <c r="X25" i="24"/>
  <c r="Y25" i="24" s="1"/>
  <c r="V25" i="24"/>
  <c r="W25" i="24" s="1"/>
  <c r="Q25" i="24"/>
  <c r="R25" i="24" s="1"/>
  <c r="M25" i="24"/>
  <c r="L25" i="24"/>
  <c r="G25" i="24"/>
  <c r="H25" i="24" s="1"/>
  <c r="V24" i="24"/>
  <c r="W24" i="24" s="1"/>
  <c r="P24" i="24"/>
  <c r="J22" i="12" s="1"/>
  <c r="L24" i="24"/>
  <c r="M24" i="24" s="1"/>
  <c r="H24" i="24"/>
  <c r="G24" i="24"/>
  <c r="V23" i="24"/>
  <c r="W23" i="24" s="1"/>
  <c r="Q23" i="24"/>
  <c r="R23" i="24" s="1"/>
  <c r="J23" i="24"/>
  <c r="F21" i="12" s="1"/>
  <c r="I23" i="24"/>
  <c r="F23" i="24"/>
  <c r="D21" i="12" s="1"/>
  <c r="E23" i="24"/>
  <c r="D23" i="24"/>
  <c r="V22" i="24"/>
  <c r="W22" i="24" s="1"/>
  <c r="P22" i="24"/>
  <c r="O22" i="24"/>
  <c r="L22" i="24"/>
  <c r="M22" i="24" s="1"/>
  <c r="F22" i="24"/>
  <c r="D20" i="12" s="1"/>
  <c r="P20" i="24"/>
  <c r="K20" i="24"/>
  <c r="K29" i="24" s="1"/>
  <c r="Y19" i="24"/>
  <c r="V19" i="24"/>
  <c r="W19" i="24" s="1"/>
  <c r="Q19" i="24"/>
  <c r="R19" i="24" s="1"/>
  <c r="L19" i="24"/>
  <c r="M19" i="24" s="1"/>
  <c r="G19" i="24"/>
  <c r="H19" i="24" s="1"/>
  <c r="X18" i="24"/>
  <c r="Y18" i="24" s="1"/>
  <c r="V18" i="24"/>
  <c r="W18" i="24" s="1"/>
  <c r="Q18" i="24"/>
  <c r="R18" i="24" s="1"/>
  <c r="M18" i="24"/>
  <c r="L18" i="24"/>
  <c r="G18" i="24"/>
  <c r="H18" i="24" s="1"/>
  <c r="U17" i="24"/>
  <c r="T17" i="24"/>
  <c r="L15" i="12" s="1"/>
  <c r="S17" i="24"/>
  <c r="K15" i="12" s="1"/>
  <c r="P17" i="24"/>
  <c r="J15" i="12" s="1"/>
  <c r="O17" i="24"/>
  <c r="I15" i="12" s="1"/>
  <c r="N17" i="24"/>
  <c r="K17" i="24"/>
  <c r="G15" i="12" s="1"/>
  <c r="J17" i="24"/>
  <c r="I17" i="24"/>
  <c r="F17" i="24"/>
  <c r="E17" i="24"/>
  <c r="D17" i="24"/>
  <c r="D20" i="24" s="1"/>
  <c r="C17" i="24"/>
  <c r="B17" i="24"/>
  <c r="X16" i="24"/>
  <c r="Y16" i="24" s="1"/>
  <c r="V16" i="24"/>
  <c r="W16" i="24" s="1"/>
  <c r="Q16" i="24"/>
  <c r="R16" i="24" s="1"/>
  <c r="L16" i="24"/>
  <c r="M16" i="24" s="1"/>
  <c r="H16" i="24"/>
  <c r="G16" i="24"/>
  <c r="X15" i="24"/>
  <c r="Y15" i="24" s="1"/>
  <c r="V15" i="24"/>
  <c r="W15" i="24" s="1"/>
  <c r="Q15" i="24"/>
  <c r="R15" i="24" s="1"/>
  <c r="L15" i="24"/>
  <c r="M15" i="24" s="1"/>
  <c r="G15" i="24"/>
  <c r="H15" i="24" s="1"/>
  <c r="X14" i="24"/>
  <c r="Y14" i="24" s="1"/>
  <c r="V14" i="24"/>
  <c r="W14" i="24" s="1"/>
  <c r="R14" i="24"/>
  <c r="Q14" i="24"/>
  <c r="L14" i="24"/>
  <c r="M14" i="24" s="1"/>
  <c r="G14" i="24"/>
  <c r="H14" i="24" s="1"/>
  <c r="C14" i="24"/>
  <c r="B14" i="24"/>
  <c r="X13" i="24"/>
  <c r="Y13" i="24" s="1"/>
  <c r="V13" i="24"/>
  <c r="W13" i="24" s="1"/>
  <c r="R13" i="24"/>
  <c r="Q13" i="24"/>
  <c r="L13" i="24"/>
  <c r="M13" i="24" s="1"/>
  <c r="G13" i="24"/>
  <c r="H13" i="24" s="1"/>
  <c r="X12" i="24"/>
  <c r="Y12" i="24" s="1"/>
  <c r="V12" i="24"/>
  <c r="W12" i="24" s="1"/>
  <c r="Q12" i="24"/>
  <c r="R12" i="24" s="1"/>
  <c r="L12" i="24"/>
  <c r="M12" i="24" s="1"/>
  <c r="G12" i="24"/>
  <c r="H12" i="24" s="1"/>
  <c r="Y11" i="24"/>
  <c r="X11" i="24"/>
  <c r="V11" i="24"/>
  <c r="W11" i="24" s="1"/>
  <c r="Q11" i="24"/>
  <c r="R11" i="24" s="1"/>
  <c r="L11" i="24"/>
  <c r="M11" i="24" s="1"/>
  <c r="G11" i="24"/>
  <c r="H11" i="24" s="1"/>
  <c r="X10" i="24"/>
  <c r="Y10" i="24" s="1"/>
  <c r="V10" i="24"/>
  <c r="W10" i="24" s="1"/>
  <c r="Q10" i="24"/>
  <c r="R10" i="24" s="1"/>
  <c r="M10" i="24"/>
  <c r="L10" i="24"/>
  <c r="G10" i="24"/>
  <c r="H10" i="24" s="1"/>
  <c r="X9" i="24"/>
  <c r="Y9" i="24" s="1"/>
  <c r="V9" i="24"/>
  <c r="W9" i="24" s="1"/>
  <c r="Q9" i="24"/>
  <c r="R9" i="24" s="1"/>
  <c r="L9" i="24"/>
  <c r="M9" i="24" s="1"/>
  <c r="G9" i="24"/>
  <c r="H9" i="24" s="1"/>
  <c r="X8" i="24"/>
  <c r="Y8" i="24" s="1"/>
  <c r="V8" i="24"/>
  <c r="W8" i="24" s="1"/>
  <c r="Q8" i="24"/>
  <c r="R8" i="24" s="1"/>
  <c r="L8" i="24"/>
  <c r="M8" i="24" s="1"/>
  <c r="G8" i="24"/>
  <c r="H8" i="24" s="1"/>
  <c r="X7" i="24"/>
  <c r="Y7" i="24" s="1"/>
  <c r="V7" i="24"/>
  <c r="W7" i="24" s="1"/>
  <c r="Q7" i="24"/>
  <c r="R7" i="24" s="1"/>
  <c r="L7" i="24"/>
  <c r="M7" i="24" s="1"/>
  <c r="G7" i="24"/>
  <c r="H7" i="24" s="1"/>
  <c r="X6" i="24"/>
  <c r="Y6" i="24" s="1"/>
  <c r="V6" i="24"/>
  <c r="W6" i="24" s="1"/>
  <c r="Q6" i="24"/>
  <c r="R6" i="24" s="1"/>
  <c r="L6" i="24"/>
  <c r="M6" i="24" s="1"/>
  <c r="G6" i="24"/>
  <c r="H6" i="24" s="1"/>
  <c r="G22" i="24" l="1"/>
  <c r="H22" i="24" s="1"/>
  <c r="D3" i="26"/>
  <c r="E20" i="24"/>
  <c r="C15" i="12"/>
  <c r="Q17" i="24"/>
  <c r="R17" i="24" s="1"/>
  <c r="P28" i="24"/>
  <c r="P29" i="24" s="1"/>
  <c r="J20" i="12"/>
  <c r="X23" i="24"/>
  <c r="Y23" i="24" s="1"/>
  <c r="C21" i="12"/>
  <c r="F20" i="24"/>
  <c r="D15" i="12"/>
  <c r="N20" i="24"/>
  <c r="Q20" i="24" s="1"/>
  <c r="R20" i="24" s="1"/>
  <c r="H15" i="12"/>
  <c r="S20" i="24"/>
  <c r="S29" i="24" s="1"/>
  <c r="I20" i="24"/>
  <c r="E15" i="12"/>
  <c r="T20" i="24"/>
  <c r="T29" i="24" s="1"/>
  <c r="I28" i="24"/>
  <c r="L28" i="24" s="1"/>
  <c r="M28" i="24" s="1"/>
  <c r="E21" i="12"/>
  <c r="X24" i="24"/>
  <c r="Y24" i="24" s="1"/>
  <c r="J3" i="26"/>
  <c r="X17" i="24"/>
  <c r="Y17" i="24" s="1"/>
  <c r="Y20" i="24" s="1"/>
  <c r="E2" i="16" s="1"/>
  <c r="B15" i="12"/>
  <c r="J20" i="24"/>
  <c r="J29" i="24" s="1"/>
  <c r="F15" i="12"/>
  <c r="U20" i="24"/>
  <c r="U29" i="24" s="1"/>
  <c r="V29" i="24" s="1"/>
  <c r="M15" i="12"/>
  <c r="O20" i="24"/>
  <c r="O28" i="24"/>
  <c r="Q28" i="24" s="1"/>
  <c r="R28" i="24" s="1"/>
  <c r="I20" i="12"/>
  <c r="D28" i="24"/>
  <c r="D29" i="24" s="1"/>
  <c r="B21" i="12"/>
  <c r="Q24" i="24"/>
  <c r="R24" i="24" s="1"/>
  <c r="F28" i="24"/>
  <c r="I3" i="26"/>
  <c r="N3" i="26" s="1"/>
  <c r="I29" i="24"/>
  <c r="L29" i="24" s="1"/>
  <c r="G17" i="24"/>
  <c r="H17" i="24" s="1"/>
  <c r="G23" i="24"/>
  <c r="H23" i="24" s="1"/>
  <c r="L23" i="24"/>
  <c r="M23" i="24" s="1"/>
  <c r="L17" i="24"/>
  <c r="M17" i="24" s="1"/>
  <c r="G20" i="24"/>
  <c r="E28" i="24"/>
  <c r="E29" i="24" s="1"/>
  <c r="V17" i="24"/>
  <c r="W17" i="24" s="1"/>
  <c r="Q22" i="24"/>
  <c r="R22" i="24" s="1"/>
  <c r="X22" i="24"/>
  <c r="L20" i="24" l="1"/>
  <c r="M20" i="24" s="1"/>
  <c r="M29" i="24" s="1"/>
  <c r="R29" i="24"/>
  <c r="X20" i="24"/>
  <c r="N29" i="24"/>
  <c r="O29" i="24"/>
  <c r="F29" i="24"/>
  <c r="V20" i="24"/>
  <c r="W20" i="24" s="1"/>
  <c r="W29" i="24" s="1"/>
  <c r="X28" i="24"/>
  <c r="X29" i="24" s="1"/>
  <c r="Y22" i="24"/>
  <c r="G28" i="24"/>
  <c r="H28" i="24" s="1"/>
  <c r="H20" i="24"/>
  <c r="Y28" i="24" l="1"/>
  <c r="Y29" i="24" s="1"/>
  <c r="O3" i="26"/>
  <c r="G29" i="24"/>
  <c r="Q29" i="24"/>
  <c r="H29" i="24"/>
  <c r="AW18" i="23"/>
  <c r="AV18" i="23"/>
  <c r="AX16" i="23"/>
  <c r="AX15" i="23"/>
  <c r="AX14" i="23"/>
  <c r="AX11" i="23"/>
  <c r="AX10" i="23"/>
  <c r="AX9" i="23"/>
  <c r="AX8" i="23"/>
  <c r="AX7" i="23"/>
  <c r="AX6" i="23"/>
  <c r="AX5" i="23"/>
  <c r="AX3" i="23"/>
  <c r="AX2" i="23"/>
  <c r="X45" i="24" l="1"/>
  <c r="Y45" i="24" s="1"/>
  <c r="O613" i="30" l="1"/>
  <c r="N613" i="30"/>
  <c r="M613" i="30"/>
  <c r="L613" i="30"/>
  <c r="K613" i="30"/>
  <c r="J613" i="30"/>
  <c r="I613" i="30"/>
  <c r="H613" i="30"/>
  <c r="G613" i="30"/>
  <c r="F613" i="30"/>
  <c r="E613" i="30"/>
  <c r="D613" i="30"/>
  <c r="C613" i="30"/>
  <c r="N612" i="30"/>
  <c r="M612" i="30"/>
  <c r="L612" i="30"/>
  <c r="K612" i="30"/>
  <c r="J612" i="30"/>
  <c r="I612" i="30"/>
  <c r="H612" i="30"/>
  <c r="G612" i="30"/>
  <c r="F612" i="30"/>
  <c r="E612" i="30"/>
  <c r="D612" i="30"/>
  <c r="C612" i="30"/>
  <c r="N611" i="30"/>
  <c r="M611" i="30"/>
  <c r="L611" i="30"/>
  <c r="K611" i="30"/>
  <c r="J611" i="30"/>
  <c r="I611" i="30"/>
  <c r="H611" i="30"/>
  <c r="G611" i="30"/>
  <c r="F611" i="30"/>
  <c r="E611" i="30"/>
  <c r="D611" i="30"/>
  <c r="C611" i="30"/>
  <c r="N610" i="30"/>
  <c r="M610" i="30"/>
  <c r="L610" i="30"/>
  <c r="K610" i="30"/>
  <c r="J610" i="30"/>
  <c r="I610" i="30"/>
  <c r="H610" i="30"/>
  <c r="G610" i="30"/>
  <c r="F610" i="30"/>
  <c r="E610" i="30"/>
  <c r="D610" i="30"/>
  <c r="C610" i="30"/>
  <c r="N609" i="30"/>
  <c r="M609" i="30"/>
  <c r="L609" i="30"/>
  <c r="K609" i="30"/>
  <c r="J609" i="30"/>
  <c r="I609" i="30"/>
  <c r="H609" i="30"/>
  <c r="G609" i="30"/>
  <c r="F609" i="30"/>
  <c r="E609" i="30"/>
  <c r="D609" i="30"/>
  <c r="C609" i="30"/>
  <c r="N608" i="30"/>
  <c r="M608" i="30"/>
  <c r="L608" i="30"/>
  <c r="K608" i="30"/>
  <c r="J608" i="30"/>
  <c r="I608" i="30"/>
  <c r="H608" i="30"/>
  <c r="G608" i="30"/>
  <c r="F608" i="30"/>
  <c r="E608" i="30"/>
  <c r="D608" i="30"/>
  <c r="C608" i="30"/>
  <c r="N607" i="30"/>
  <c r="M607" i="30"/>
  <c r="L607" i="30"/>
  <c r="K607" i="30"/>
  <c r="J607" i="30"/>
  <c r="I607" i="30"/>
  <c r="H607" i="30"/>
  <c r="G607" i="30"/>
  <c r="F607" i="30"/>
  <c r="E607" i="30"/>
  <c r="D607" i="30"/>
  <c r="C607" i="30"/>
  <c r="N606" i="30"/>
  <c r="M606" i="30"/>
  <c r="L606" i="30"/>
  <c r="K606" i="30"/>
  <c r="J606" i="30"/>
  <c r="I606" i="30"/>
  <c r="H606" i="30"/>
  <c r="G606" i="30"/>
  <c r="F606" i="30"/>
  <c r="E606" i="30"/>
  <c r="D606" i="30"/>
  <c r="C606" i="30"/>
  <c r="N605" i="30"/>
  <c r="M605" i="30"/>
  <c r="L605" i="30"/>
  <c r="K605" i="30"/>
  <c r="J605" i="30"/>
  <c r="I605" i="30"/>
  <c r="H605" i="30"/>
  <c r="G605" i="30"/>
  <c r="F605" i="30"/>
  <c r="E605" i="30"/>
  <c r="D605" i="30"/>
  <c r="C605" i="30"/>
  <c r="N604" i="30"/>
  <c r="M604" i="30"/>
  <c r="L604" i="30"/>
  <c r="K604" i="30"/>
  <c r="J604" i="30"/>
  <c r="I604" i="30"/>
  <c r="H604" i="30"/>
  <c r="G604" i="30"/>
  <c r="F604" i="30"/>
  <c r="E604" i="30"/>
  <c r="D604" i="30"/>
  <c r="C604" i="30"/>
  <c r="N603" i="30"/>
  <c r="M603" i="30"/>
  <c r="L603" i="30"/>
  <c r="K603" i="30"/>
  <c r="J603" i="30"/>
  <c r="I603" i="30"/>
  <c r="H603" i="30"/>
  <c r="G603" i="30"/>
  <c r="F603" i="30"/>
  <c r="E603" i="30"/>
  <c r="D603" i="30"/>
  <c r="C603" i="30"/>
  <c r="N602" i="30"/>
  <c r="M602" i="30"/>
  <c r="L602" i="30"/>
  <c r="K602" i="30"/>
  <c r="J602" i="30"/>
  <c r="I602" i="30"/>
  <c r="H602" i="30"/>
  <c r="G602" i="30"/>
  <c r="F602" i="30"/>
  <c r="E602" i="30"/>
  <c r="D602" i="30"/>
  <c r="C602" i="30"/>
  <c r="N601" i="30"/>
  <c r="M601" i="30"/>
  <c r="L601" i="30"/>
  <c r="K601" i="30"/>
  <c r="J601" i="30"/>
  <c r="I601" i="30"/>
  <c r="H601" i="30"/>
  <c r="G601" i="30"/>
  <c r="F601" i="30"/>
  <c r="E601" i="30"/>
  <c r="D601" i="30"/>
  <c r="C601" i="30"/>
  <c r="N600" i="30"/>
  <c r="M600" i="30"/>
  <c r="L600" i="30"/>
  <c r="K600" i="30"/>
  <c r="J600" i="30"/>
  <c r="I600" i="30"/>
  <c r="H600" i="30"/>
  <c r="G600" i="30"/>
  <c r="F600" i="30"/>
  <c r="E600" i="30"/>
  <c r="D600" i="30"/>
  <c r="C600" i="30"/>
  <c r="N599" i="30"/>
  <c r="M599" i="30"/>
  <c r="L599" i="30"/>
  <c r="K599" i="30"/>
  <c r="J599" i="30"/>
  <c r="I599" i="30"/>
  <c r="H599" i="30"/>
  <c r="G599" i="30"/>
  <c r="F599" i="30"/>
  <c r="E599" i="30"/>
  <c r="D599" i="30"/>
  <c r="C599" i="30"/>
  <c r="N598" i="30"/>
  <c r="M598" i="30"/>
  <c r="L598" i="30"/>
  <c r="K598" i="30"/>
  <c r="J598" i="30"/>
  <c r="I598" i="30"/>
  <c r="H598" i="30"/>
  <c r="G598" i="30"/>
  <c r="F598" i="30"/>
  <c r="E598" i="30"/>
  <c r="D598" i="30"/>
  <c r="C598" i="30"/>
  <c r="N597" i="30"/>
  <c r="M597" i="30"/>
  <c r="L597" i="30"/>
  <c r="K597" i="30"/>
  <c r="J597" i="30"/>
  <c r="I597" i="30"/>
  <c r="H597" i="30"/>
  <c r="G597" i="30"/>
  <c r="F597" i="30"/>
  <c r="E597" i="30"/>
  <c r="D597" i="30"/>
  <c r="C597" i="30"/>
  <c r="N596" i="30"/>
  <c r="M596" i="30"/>
  <c r="L596" i="30"/>
  <c r="K596" i="30"/>
  <c r="J596" i="30"/>
  <c r="I596" i="30"/>
  <c r="H596" i="30"/>
  <c r="G596" i="30"/>
  <c r="F596" i="30"/>
  <c r="E596" i="30"/>
  <c r="D596" i="30"/>
  <c r="C596" i="30"/>
  <c r="N595" i="30"/>
  <c r="M595" i="30"/>
  <c r="L595" i="30"/>
  <c r="K595" i="30"/>
  <c r="J595" i="30"/>
  <c r="I595" i="30"/>
  <c r="H595" i="30"/>
  <c r="G595" i="30"/>
  <c r="F595" i="30"/>
  <c r="E595" i="30"/>
  <c r="D595" i="30"/>
  <c r="C595" i="30"/>
  <c r="O591" i="30"/>
  <c r="O590" i="30"/>
  <c r="O589" i="30"/>
  <c r="O588" i="30"/>
  <c r="O587" i="30"/>
  <c r="O586" i="30"/>
  <c r="O585" i="30"/>
  <c r="O584" i="30"/>
  <c r="O581" i="30"/>
  <c r="O580" i="30"/>
  <c r="O579" i="30"/>
  <c r="O578" i="30"/>
  <c r="P578" i="30" s="1"/>
  <c r="Q578" i="30" s="1"/>
  <c r="O577" i="30"/>
  <c r="O576" i="30"/>
  <c r="O575" i="30"/>
  <c r="O574" i="30"/>
  <c r="O573" i="30"/>
  <c r="O572" i="30"/>
  <c r="O571" i="30"/>
  <c r="O570" i="30"/>
  <c r="P570" i="30" s="1"/>
  <c r="Q570" i="30" s="1"/>
  <c r="O569" i="30"/>
  <c r="O568" i="30"/>
  <c r="O567" i="30"/>
  <c r="O566" i="30"/>
  <c r="P566" i="30" s="1"/>
  <c r="Q566" i="30" s="1"/>
  <c r="O565" i="30"/>
  <c r="O564" i="30"/>
  <c r="O560" i="30"/>
  <c r="O559" i="30"/>
  <c r="O558" i="30"/>
  <c r="O557" i="30"/>
  <c r="O556" i="30"/>
  <c r="O555" i="30"/>
  <c r="O554" i="30"/>
  <c r="O553" i="30"/>
  <c r="O552" i="30"/>
  <c r="O551" i="30"/>
  <c r="O550" i="30"/>
  <c r="O549" i="30"/>
  <c r="O548" i="30"/>
  <c r="O547" i="30"/>
  <c r="O546" i="30"/>
  <c r="O545" i="30"/>
  <c r="O544" i="30"/>
  <c r="O543" i="30"/>
  <c r="O540" i="30"/>
  <c r="O539" i="30"/>
  <c r="O538" i="30"/>
  <c r="O537" i="30"/>
  <c r="P537" i="30" s="1"/>
  <c r="Q537" i="30" s="1"/>
  <c r="O536" i="30"/>
  <c r="O535" i="30"/>
  <c r="O534" i="30"/>
  <c r="O533" i="30"/>
  <c r="P533" i="30" s="1"/>
  <c r="Q533" i="30" s="1"/>
  <c r="O532" i="30"/>
  <c r="O531" i="30"/>
  <c r="O530" i="30"/>
  <c r="O529" i="30"/>
  <c r="P529" i="30" s="1"/>
  <c r="Q529" i="30" s="1"/>
  <c r="O528" i="30"/>
  <c r="O527" i="30"/>
  <c r="O526" i="30"/>
  <c r="O525" i="30"/>
  <c r="O524" i="30"/>
  <c r="O523" i="30"/>
  <c r="O519" i="30"/>
  <c r="O518" i="30"/>
  <c r="O517" i="30"/>
  <c r="O516" i="30"/>
  <c r="O515" i="30"/>
  <c r="O514" i="30"/>
  <c r="O513" i="30"/>
  <c r="O512" i="30"/>
  <c r="O511" i="30"/>
  <c r="O510" i="30"/>
  <c r="O509" i="30"/>
  <c r="O508" i="30"/>
  <c r="O507" i="30"/>
  <c r="O506" i="30"/>
  <c r="O505" i="30"/>
  <c r="O504" i="30"/>
  <c r="O503" i="30"/>
  <c r="O502" i="30"/>
  <c r="O499" i="30"/>
  <c r="O498" i="30"/>
  <c r="O497" i="30"/>
  <c r="O496" i="30"/>
  <c r="P496" i="30" s="1"/>
  <c r="Q496" i="30" s="1"/>
  <c r="O495" i="30"/>
  <c r="O494" i="30"/>
  <c r="O493" i="30"/>
  <c r="O492" i="30"/>
  <c r="O491" i="30"/>
  <c r="O490" i="30"/>
  <c r="O489" i="30"/>
  <c r="O488" i="30"/>
  <c r="O487" i="30"/>
  <c r="O486" i="30"/>
  <c r="O485" i="30"/>
  <c r="O484" i="30"/>
  <c r="P484" i="30" s="1"/>
  <c r="Q484" i="30" s="1"/>
  <c r="O483" i="30"/>
  <c r="O482" i="30"/>
  <c r="O478" i="30"/>
  <c r="O477" i="30"/>
  <c r="O476" i="30"/>
  <c r="O475" i="30"/>
  <c r="O474" i="30"/>
  <c r="O473" i="30"/>
  <c r="O472" i="30"/>
  <c r="O471" i="30"/>
  <c r="O470" i="30"/>
  <c r="O469" i="30"/>
  <c r="O468" i="30"/>
  <c r="O467" i="30"/>
  <c r="O466" i="30"/>
  <c r="O465" i="30"/>
  <c r="O464" i="30"/>
  <c r="O463" i="30"/>
  <c r="O462" i="30"/>
  <c r="O461" i="30"/>
  <c r="O458" i="30"/>
  <c r="O457" i="30"/>
  <c r="O456" i="30"/>
  <c r="O455" i="30"/>
  <c r="O454" i="30"/>
  <c r="O453" i="30"/>
  <c r="O452" i="30"/>
  <c r="O451" i="30"/>
  <c r="O450" i="30"/>
  <c r="O449" i="30"/>
  <c r="O448" i="30"/>
  <c r="O447" i="30"/>
  <c r="O446" i="30"/>
  <c r="O445" i="30"/>
  <c r="O444" i="30"/>
  <c r="O443" i="30"/>
  <c r="O442" i="30"/>
  <c r="O441" i="30"/>
  <c r="O437" i="30"/>
  <c r="P437" i="30" s="1"/>
  <c r="Q437" i="30" s="1"/>
  <c r="O436" i="30"/>
  <c r="O435" i="30"/>
  <c r="O434" i="30"/>
  <c r="O433" i="30"/>
  <c r="O432" i="30"/>
  <c r="O431" i="30"/>
  <c r="O430" i="30"/>
  <c r="O429" i="30"/>
  <c r="P429" i="30" s="1"/>
  <c r="Q429" i="30" s="1"/>
  <c r="O428" i="30"/>
  <c r="O427" i="30"/>
  <c r="O426" i="30"/>
  <c r="O425" i="30"/>
  <c r="O424" i="30"/>
  <c r="O423" i="30"/>
  <c r="O422" i="30"/>
  <c r="O421" i="30"/>
  <c r="O420" i="30"/>
  <c r="O417" i="30"/>
  <c r="O416" i="30"/>
  <c r="O415" i="30"/>
  <c r="O414" i="30"/>
  <c r="O413" i="30"/>
  <c r="O412" i="30"/>
  <c r="O411" i="30"/>
  <c r="O410" i="30"/>
  <c r="O409" i="30"/>
  <c r="O408" i="30"/>
  <c r="O407" i="30"/>
  <c r="O406" i="30"/>
  <c r="P406" i="30" s="1"/>
  <c r="Q406" i="30" s="1"/>
  <c r="O405" i="30"/>
  <c r="O404" i="30"/>
  <c r="O403" i="30"/>
  <c r="O402" i="30"/>
  <c r="O401" i="30"/>
  <c r="O400" i="30"/>
  <c r="O396" i="30"/>
  <c r="O395" i="30"/>
  <c r="O394" i="30"/>
  <c r="O393" i="30"/>
  <c r="O392" i="30"/>
  <c r="O391" i="30"/>
  <c r="O390" i="30"/>
  <c r="O389" i="30"/>
  <c r="O388" i="30"/>
  <c r="O387" i="30"/>
  <c r="O386" i="30"/>
  <c r="O385" i="30"/>
  <c r="O384" i="30"/>
  <c r="O383" i="30"/>
  <c r="O382" i="30"/>
  <c r="O381" i="30"/>
  <c r="O380" i="30"/>
  <c r="O379" i="30"/>
  <c r="O376" i="30"/>
  <c r="O375" i="30"/>
  <c r="O374" i="30"/>
  <c r="P374" i="30" s="1"/>
  <c r="Q374" i="30" s="1"/>
  <c r="O373" i="30"/>
  <c r="O372" i="30"/>
  <c r="O371" i="30"/>
  <c r="P371" i="30" s="1"/>
  <c r="Q371" i="30" s="1"/>
  <c r="O370" i="30"/>
  <c r="O369" i="30"/>
  <c r="O368" i="30"/>
  <c r="O367" i="30"/>
  <c r="O366" i="30"/>
  <c r="P366" i="30" s="1"/>
  <c r="Q366" i="30" s="1"/>
  <c r="O365" i="30"/>
  <c r="O364" i="30"/>
  <c r="O363" i="30"/>
  <c r="P363" i="30" s="1"/>
  <c r="Q363" i="30" s="1"/>
  <c r="O362" i="30"/>
  <c r="O361" i="30"/>
  <c r="O360" i="30"/>
  <c r="O359" i="30"/>
  <c r="O355" i="30"/>
  <c r="O354" i="30"/>
  <c r="O353" i="30"/>
  <c r="O352" i="30"/>
  <c r="O351" i="30"/>
  <c r="O350" i="30"/>
  <c r="O349" i="30"/>
  <c r="P350" i="30" s="1"/>
  <c r="Q350" i="30" s="1"/>
  <c r="O348" i="30"/>
  <c r="O347" i="30"/>
  <c r="O346" i="30"/>
  <c r="O345" i="30"/>
  <c r="O344" i="30"/>
  <c r="P345" i="30" s="1"/>
  <c r="Q345" i="30" s="1"/>
  <c r="O343" i="30"/>
  <c r="O342" i="30"/>
  <c r="O341" i="30"/>
  <c r="O340" i="30"/>
  <c r="P340" i="30" s="1"/>
  <c r="Q340" i="30" s="1"/>
  <c r="O339" i="30"/>
  <c r="O338" i="30"/>
  <c r="O335" i="30"/>
  <c r="O334" i="30"/>
  <c r="O333" i="30"/>
  <c r="O332" i="30"/>
  <c r="O331" i="30"/>
  <c r="O330" i="30"/>
  <c r="O329" i="30"/>
  <c r="O328" i="30"/>
  <c r="O327" i="30"/>
  <c r="O326" i="30"/>
  <c r="O325" i="30"/>
  <c r="O324" i="30"/>
  <c r="O323" i="30"/>
  <c r="O322" i="30"/>
  <c r="O321" i="30"/>
  <c r="O320" i="30"/>
  <c r="O319" i="30"/>
  <c r="O318" i="30"/>
  <c r="P488" i="30" l="1"/>
  <c r="Q488" i="30" s="1"/>
  <c r="P380" i="30"/>
  <c r="Q380" i="30" s="1"/>
  <c r="P411" i="30"/>
  <c r="Q411" i="30" s="1"/>
  <c r="P444" i="30"/>
  <c r="Q444" i="30" s="1"/>
  <c r="P395" i="30"/>
  <c r="Q395" i="30" s="1"/>
  <c r="P492" i="30"/>
  <c r="Q492" i="30" s="1"/>
  <c r="P525" i="30"/>
  <c r="Q525" i="30" s="1"/>
  <c r="P447" i="30"/>
  <c r="Q447" i="30" s="1"/>
  <c r="P351" i="30"/>
  <c r="Q351" i="30" s="1"/>
  <c r="P384" i="30"/>
  <c r="Q384" i="30" s="1"/>
  <c r="P415" i="30"/>
  <c r="Q415" i="30" s="1"/>
  <c r="P574" i="30"/>
  <c r="Q574" i="30" s="1"/>
  <c r="P433" i="30"/>
  <c r="Q433" i="30" s="1"/>
  <c r="P452" i="30"/>
  <c r="Q452" i="30" s="1"/>
  <c r="P353" i="30"/>
  <c r="Q353" i="30" s="1"/>
  <c r="P382" i="30"/>
  <c r="Q382" i="30" s="1"/>
  <c r="P389" i="30"/>
  <c r="Q389" i="30" s="1"/>
  <c r="P463" i="30"/>
  <c r="Q463" i="30" s="1"/>
  <c r="P471" i="30"/>
  <c r="Q471" i="30" s="1"/>
  <c r="P508" i="30"/>
  <c r="Q508" i="30" s="1"/>
  <c r="P516" i="30"/>
  <c r="Q516" i="30" s="1"/>
  <c r="P545" i="30"/>
  <c r="Q545" i="30" s="1"/>
  <c r="P553" i="30"/>
  <c r="Q553" i="30" s="1"/>
  <c r="P586" i="30"/>
  <c r="Q586" i="30" s="1"/>
  <c r="P320" i="30"/>
  <c r="Q320" i="30" s="1"/>
  <c r="P346" i="30"/>
  <c r="Q346" i="30" s="1"/>
  <c r="P354" i="30"/>
  <c r="Q354" i="30" s="1"/>
  <c r="P413" i="30"/>
  <c r="Q413" i="30" s="1"/>
  <c r="P423" i="30"/>
  <c r="Q423" i="30" s="1"/>
  <c r="P427" i="30"/>
  <c r="Q427" i="30" s="1"/>
  <c r="P431" i="30"/>
  <c r="Q431" i="30" s="1"/>
  <c r="P443" i="30"/>
  <c r="Q443" i="30" s="1"/>
  <c r="P450" i="30"/>
  <c r="Q450" i="30" s="1"/>
  <c r="P591" i="30"/>
  <c r="Q591" i="30" s="1"/>
  <c r="P327" i="30"/>
  <c r="Q327" i="30" s="1"/>
  <c r="P368" i="30"/>
  <c r="Q368" i="30" s="1"/>
  <c r="P386" i="30"/>
  <c r="Q386" i="30" s="1"/>
  <c r="P393" i="30"/>
  <c r="Q393" i="30" s="1"/>
  <c r="P467" i="30"/>
  <c r="Q467" i="30" s="1"/>
  <c r="P475" i="30"/>
  <c r="Q475" i="30" s="1"/>
  <c r="P504" i="30"/>
  <c r="Q504" i="30" s="1"/>
  <c r="P512" i="30"/>
  <c r="Q512" i="30" s="1"/>
  <c r="P549" i="30"/>
  <c r="Q549" i="30" s="1"/>
  <c r="P557" i="30"/>
  <c r="Q557" i="30" s="1"/>
  <c r="P387" i="30"/>
  <c r="Q387" i="30" s="1"/>
  <c r="O595" i="30"/>
  <c r="O596" i="30"/>
  <c r="P596" i="30" s="1"/>
  <c r="O597" i="30"/>
  <c r="P597" i="30" s="1"/>
  <c r="O598" i="30"/>
  <c r="P598" i="30" s="1"/>
  <c r="O599" i="30"/>
  <c r="P599" i="30" s="1"/>
  <c r="Q599" i="30" s="1"/>
  <c r="O600" i="30"/>
  <c r="P600" i="30" s="1"/>
  <c r="O601" i="30"/>
  <c r="P601" i="30" s="1"/>
  <c r="O602" i="30"/>
  <c r="P602" i="30" s="1"/>
  <c r="O603" i="30"/>
  <c r="P603" i="30" s="1"/>
  <c r="Q603" i="30" s="1"/>
  <c r="O604" i="30"/>
  <c r="P604" i="30" s="1"/>
  <c r="Q604" i="30" s="1"/>
  <c r="O605" i="30"/>
  <c r="P605" i="30" s="1"/>
  <c r="Q605" i="30" s="1"/>
  <c r="O606" i="30"/>
  <c r="O607" i="30"/>
  <c r="P607" i="30" s="1"/>
  <c r="Q607" i="30" s="1"/>
  <c r="P321" i="30"/>
  <c r="Q321" i="30" s="1"/>
  <c r="P324" i="30"/>
  <c r="Q324" i="30" s="1"/>
  <c r="O608" i="30"/>
  <c r="P608" i="30" s="1"/>
  <c r="Q608" i="30" s="1"/>
  <c r="O612" i="30"/>
  <c r="P342" i="30"/>
  <c r="Q342" i="30" s="1"/>
  <c r="P348" i="30"/>
  <c r="Q348" i="30" s="1"/>
  <c r="P362" i="30"/>
  <c r="Q362" i="30" s="1"/>
  <c r="P365" i="30"/>
  <c r="Q365" i="30" s="1"/>
  <c r="P403" i="30"/>
  <c r="Q403" i="30" s="1"/>
  <c r="P407" i="30"/>
  <c r="Q407" i="30" s="1"/>
  <c r="P424" i="30"/>
  <c r="Q424" i="30" s="1"/>
  <c r="P446" i="30"/>
  <c r="Q446" i="30" s="1"/>
  <c r="P457" i="30"/>
  <c r="Q457" i="30" s="1"/>
  <c r="P369" i="30"/>
  <c r="Q369" i="30" s="1"/>
  <c r="P372" i="30"/>
  <c r="Q372" i="30" s="1"/>
  <c r="P590" i="30"/>
  <c r="Q590" i="30" s="1"/>
  <c r="P323" i="30"/>
  <c r="Q323" i="30" s="1"/>
  <c r="P329" i="30"/>
  <c r="Q329" i="30" s="1"/>
  <c r="P339" i="30"/>
  <c r="Q339" i="30" s="1"/>
  <c r="P343" i="30"/>
  <c r="Q343" i="30" s="1"/>
  <c r="P390" i="30"/>
  <c r="Q390" i="30" s="1"/>
  <c r="P394" i="30"/>
  <c r="Q394" i="30" s="1"/>
  <c r="P401" i="30"/>
  <c r="Q401" i="30" s="1"/>
  <c r="P409" i="30"/>
  <c r="Q409" i="30" s="1"/>
  <c r="P416" i="30"/>
  <c r="Q416" i="30" s="1"/>
  <c r="P422" i="30"/>
  <c r="Q422" i="30" s="1"/>
  <c r="P426" i="30"/>
  <c r="Q426" i="30" s="1"/>
  <c r="P430" i="30"/>
  <c r="Q430" i="30" s="1"/>
  <c r="P434" i="30"/>
  <c r="Q434" i="30" s="1"/>
  <c r="P458" i="30"/>
  <c r="Q458" i="30" s="1"/>
  <c r="P483" i="30"/>
  <c r="Q483" i="30" s="1"/>
  <c r="P487" i="30"/>
  <c r="Q487" i="30" s="1"/>
  <c r="P491" i="30"/>
  <c r="Q491" i="30" s="1"/>
  <c r="P495" i="30"/>
  <c r="Q495" i="30" s="1"/>
  <c r="P499" i="30"/>
  <c r="Q499" i="30" s="1"/>
  <c r="P524" i="30"/>
  <c r="Q524" i="30" s="1"/>
  <c r="P528" i="30"/>
  <c r="Q528" i="30" s="1"/>
  <c r="P532" i="30"/>
  <c r="Q532" i="30" s="1"/>
  <c r="P565" i="30"/>
  <c r="Q565" i="30" s="1"/>
  <c r="P569" i="30"/>
  <c r="Q569" i="30" s="1"/>
  <c r="P325" i="30"/>
  <c r="Q325" i="30" s="1"/>
  <c r="P328" i="30"/>
  <c r="Q328" i="30" s="1"/>
  <c r="P341" i="30"/>
  <c r="Q341" i="30" s="1"/>
  <c r="P344" i="30"/>
  <c r="Q344" i="30" s="1"/>
  <c r="P349" i="30"/>
  <c r="Q349" i="30" s="1"/>
  <c r="P352" i="30"/>
  <c r="Q352" i="30" s="1"/>
  <c r="P361" i="30"/>
  <c r="Q361" i="30" s="1"/>
  <c r="P364" i="30"/>
  <c r="Q364" i="30" s="1"/>
  <c r="P370" i="30"/>
  <c r="Q370" i="30" s="1"/>
  <c r="P376" i="30"/>
  <c r="Q376" i="30" s="1"/>
  <c r="P381" i="30"/>
  <c r="Q381" i="30" s="1"/>
  <c r="P385" i="30"/>
  <c r="Q385" i="30" s="1"/>
  <c r="P388" i="30"/>
  <c r="Q388" i="30" s="1"/>
  <c r="P392" i="30"/>
  <c r="Q392" i="30" s="1"/>
  <c r="P405" i="30"/>
  <c r="Q405" i="30" s="1"/>
  <c r="P410" i="30"/>
  <c r="Q410" i="30" s="1"/>
  <c r="P421" i="30"/>
  <c r="Q421" i="30" s="1"/>
  <c r="P435" i="30"/>
  <c r="Q435" i="30" s="1"/>
  <c r="P449" i="30"/>
  <c r="Q449" i="30" s="1"/>
  <c r="P451" i="30"/>
  <c r="Q451" i="30" s="1"/>
  <c r="P466" i="30"/>
  <c r="Q466" i="30" s="1"/>
  <c r="P470" i="30"/>
  <c r="Q470" i="30" s="1"/>
  <c r="P474" i="30"/>
  <c r="Q474" i="30" s="1"/>
  <c r="P478" i="30"/>
  <c r="Q478" i="30" s="1"/>
  <c r="P486" i="30"/>
  <c r="Q486" i="30" s="1"/>
  <c r="P490" i="30"/>
  <c r="Q490" i="30" s="1"/>
  <c r="P494" i="30"/>
  <c r="Q494" i="30" s="1"/>
  <c r="P498" i="30"/>
  <c r="Q498" i="30" s="1"/>
  <c r="P503" i="30"/>
  <c r="Q503" i="30" s="1"/>
  <c r="P507" i="30"/>
  <c r="Q507" i="30" s="1"/>
  <c r="P511" i="30"/>
  <c r="Q511" i="30" s="1"/>
  <c r="P515" i="30"/>
  <c r="Q515" i="30" s="1"/>
  <c r="P519" i="30"/>
  <c r="Q519" i="30" s="1"/>
  <c r="P527" i="30"/>
  <c r="Q527" i="30" s="1"/>
  <c r="P531" i="30"/>
  <c r="Q531" i="30" s="1"/>
  <c r="P535" i="30"/>
  <c r="Q535" i="30" s="1"/>
  <c r="P539" i="30"/>
  <c r="Q539" i="30" s="1"/>
  <c r="P544" i="30"/>
  <c r="Q544" i="30" s="1"/>
  <c r="P548" i="30"/>
  <c r="Q548" i="30" s="1"/>
  <c r="P552" i="30"/>
  <c r="Q552" i="30" s="1"/>
  <c r="P556" i="30"/>
  <c r="Q556" i="30" s="1"/>
  <c r="P560" i="30"/>
  <c r="Q560" i="30" s="1"/>
  <c r="P568" i="30"/>
  <c r="Q568" i="30" s="1"/>
  <c r="P572" i="30"/>
  <c r="Q572" i="30" s="1"/>
  <c r="P576" i="30"/>
  <c r="Q576" i="30" s="1"/>
  <c r="P580" i="30"/>
  <c r="Q580" i="30" s="1"/>
  <c r="P585" i="30"/>
  <c r="Q585" i="30" s="1"/>
  <c r="P589" i="30"/>
  <c r="Q589" i="30" s="1"/>
  <c r="O610" i="30"/>
  <c r="P347" i="30"/>
  <c r="Q347" i="30" s="1"/>
  <c r="P355" i="30"/>
  <c r="Q355" i="30" s="1"/>
  <c r="P373" i="30"/>
  <c r="Q373" i="30" s="1"/>
  <c r="P396" i="30"/>
  <c r="Q396" i="30" s="1"/>
  <c r="P402" i="30"/>
  <c r="Q402" i="30" s="1"/>
  <c r="P408" i="30"/>
  <c r="Q408" i="30" s="1"/>
  <c r="P414" i="30"/>
  <c r="Q414" i="30" s="1"/>
  <c r="P417" i="30"/>
  <c r="Q417" i="30" s="1"/>
  <c r="P425" i="30"/>
  <c r="Q425" i="30" s="1"/>
  <c r="P432" i="30"/>
  <c r="Q432" i="30" s="1"/>
  <c r="P448" i="30"/>
  <c r="Q448" i="30" s="1"/>
  <c r="P453" i="30"/>
  <c r="Q453" i="30" s="1"/>
  <c r="P454" i="30"/>
  <c r="Q454" i="30" s="1"/>
  <c r="O611" i="30"/>
  <c r="P612" i="30" s="1"/>
  <c r="Q612" i="30" s="1"/>
  <c r="P465" i="30"/>
  <c r="Q465" i="30" s="1"/>
  <c r="P469" i="30"/>
  <c r="Q469" i="30" s="1"/>
  <c r="P473" i="30"/>
  <c r="Q473" i="30" s="1"/>
  <c r="P477" i="30"/>
  <c r="Q477" i="30" s="1"/>
  <c r="P506" i="30"/>
  <c r="Q506" i="30" s="1"/>
  <c r="P510" i="30"/>
  <c r="Q510" i="30" s="1"/>
  <c r="P514" i="30"/>
  <c r="Q514" i="30" s="1"/>
  <c r="P518" i="30"/>
  <c r="Q518" i="30" s="1"/>
  <c r="P536" i="30"/>
  <c r="Q536" i="30" s="1"/>
  <c r="P540" i="30"/>
  <c r="Q540" i="30" s="1"/>
  <c r="P547" i="30"/>
  <c r="Q547" i="30" s="1"/>
  <c r="P551" i="30"/>
  <c r="Q551" i="30" s="1"/>
  <c r="P555" i="30"/>
  <c r="Q555" i="30" s="1"/>
  <c r="P559" i="30"/>
  <c r="Q559" i="30" s="1"/>
  <c r="P573" i="30"/>
  <c r="Q573" i="30" s="1"/>
  <c r="P577" i="30"/>
  <c r="Q577" i="30" s="1"/>
  <c r="P581" i="30"/>
  <c r="Q581" i="30" s="1"/>
  <c r="P587" i="30"/>
  <c r="Q587" i="30" s="1"/>
  <c r="P367" i="30"/>
  <c r="Q367" i="30" s="1"/>
  <c r="P375" i="30"/>
  <c r="Q375" i="30" s="1"/>
  <c r="P404" i="30"/>
  <c r="Q404" i="30" s="1"/>
  <c r="P412" i="30"/>
  <c r="Q412" i="30" s="1"/>
  <c r="P322" i="30"/>
  <c r="Q322" i="30" s="1"/>
  <c r="P326" i="30"/>
  <c r="Q326" i="30" s="1"/>
  <c r="P330" i="30"/>
  <c r="Q330" i="30" s="1"/>
  <c r="O609" i="30"/>
  <c r="P332" i="30"/>
  <c r="Q332" i="30" s="1"/>
  <c r="P334" i="30"/>
  <c r="Q334" i="30" s="1"/>
  <c r="P360" i="30"/>
  <c r="Q360" i="30" s="1"/>
  <c r="P383" i="30"/>
  <c r="Q383" i="30" s="1"/>
  <c r="P391" i="30"/>
  <c r="Q391" i="30" s="1"/>
  <c r="P428" i="30"/>
  <c r="Q428" i="30" s="1"/>
  <c r="P436" i="30"/>
  <c r="Q436" i="30" s="1"/>
  <c r="P455" i="30"/>
  <c r="Q455" i="30" s="1"/>
  <c r="P456" i="30"/>
  <c r="Q456" i="30" s="1"/>
  <c r="P319" i="30"/>
  <c r="Q319" i="30" s="1"/>
  <c r="P333" i="30"/>
  <c r="Q333" i="30" s="1"/>
  <c r="P445" i="30"/>
  <c r="Q445" i="30" s="1"/>
  <c r="P331" i="30"/>
  <c r="Q331" i="30" s="1"/>
  <c r="P335" i="30"/>
  <c r="Q335" i="30" s="1"/>
  <c r="P462" i="30"/>
  <c r="Q462" i="30" s="1"/>
  <c r="P442" i="30"/>
  <c r="Q442" i="30" s="1"/>
  <c r="Q596" i="30"/>
  <c r="Q597" i="30"/>
  <c r="Q598" i="30"/>
  <c r="Q600" i="30"/>
  <c r="Q601" i="30"/>
  <c r="Q602" i="30"/>
  <c r="P588" i="30"/>
  <c r="Q588" i="30" s="1"/>
  <c r="P464" i="30"/>
  <c r="Q464" i="30" s="1"/>
  <c r="P468" i="30"/>
  <c r="Q468" i="30" s="1"/>
  <c r="P472" i="30"/>
  <c r="Q472" i="30" s="1"/>
  <c r="P476" i="30"/>
  <c r="Q476" i="30" s="1"/>
  <c r="P485" i="30"/>
  <c r="Q485" i="30" s="1"/>
  <c r="P489" i="30"/>
  <c r="Q489" i="30" s="1"/>
  <c r="P493" i="30"/>
  <c r="Q493" i="30" s="1"/>
  <c r="P497" i="30"/>
  <c r="Q497" i="30" s="1"/>
  <c r="P505" i="30"/>
  <c r="Q505" i="30" s="1"/>
  <c r="P509" i="30"/>
  <c r="Q509" i="30" s="1"/>
  <c r="P513" i="30"/>
  <c r="Q513" i="30" s="1"/>
  <c r="P517" i="30"/>
  <c r="Q517" i="30" s="1"/>
  <c r="P526" i="30"/>
  <c r="Q526" i="30" s="1"/>
  <c r="P530" i="30"/>
  <c r="Q530" i="30" s="1"/>
  <c r="P534" i="30"/>
  <c r="Q534" i="30" s="1"/>
  <c r="P538" i="30"/>
  <c r="Q538" i="30" s="1"/>
  <c r="P546" i="30"/>
  <c r="Q546" i="30" s="1"/>
  <c r="P550" i="30"/>
  <c r="Q550" i="30" s="1"/>
  <c r="P554" i="30"/>
  <c r="Q554" i="30" s="1"/>
  <c r="P558" i="30"/>
  <c r="Q558" i="30" s="1"/>
  <c r="P567" i="30"/>
  <c r="Q567" i="30" s="1"/>
  <c r="P571" i="30"/>
  <c r="Q571" i="30" s="1"/>
  <c r="P575" i="30"/>
  <c r="Q575" i="30" s="1"/>
  <c r="P579" i="30"/>
  <c r="Q579" i="30" s="1"/>
  <c r="P606" i="30" l="1"/>
  <c r="Q606" i="30" s="1"/>
  <c r="P611" i="30"/>
  <c r="Q611" i="30" s="1"/>
  <c r="P609" i="30"/>
  <c r="Q609" i="30" s="1"/>
  <c r="G614" i="30"/>
  <c r="R603" i="30"/>
  <c r="R606" i="30"/>
  <c r="R602" i="30"/>
  <c r="R601" i="30"/>
  <c r="R600" i="30"/>
  <c r="R599" i="30"/>
  <c r="R598" i="30"/>
  <c r="R597" i="30"/>
  <c r="R605" i="30"/>
  <c r="P610" i="30"/>
  <c r="Q610" i="30" s="1"/>
  <c r="R611" i="30" s="1"/>
  <c r="R607" i="30"/>
  <c r="R608" i="30"/>
  <c r="R604" i="30"/>
  <c r="AU3" i="23"/>
  <c r="AU2" i="23"/>
  <c r="AU16" i="23"/>
  <c r="AU15" i="23"/>
  <c r="AU14" i="23"/>
  <c r="AU11" i="23"/>
  <c r="AU10" i="23"/>
  <c r="AU9" i="23"/>
  <c r="AU8" i="23"/>
  <c r="AU7" i="23"/>
  <c r="AU6" i="23"/>
  <c r="AU5" i="23"/>
  <c r="R609" i="30" l="1"/>
  <c r="R610" i="30"/>
  <c r="R612" i="30"/>
  <c r="F46" i="11"/>
  <c r="F45" i="11"/>
  <c r="F12" i="11"/>
  <c r="E102" i="21"/>
  <c r="E111" i="21"/>
  <c r="E104" i="21"/>
  <c r="E103" i="21"/>
  <c r="E77" i="21"/>
  <c r="E76" i="21"/>
  <c r="E75" i="21"/>
  <c r="E97" i="21"/>
  <c r="E86" i="21"/>
  <c r="E85" i="21"/>
  <c r="E66" i="21"/>
  <c r="E65" i="21"/>
  <c r="F112" i="21" l="1"/>
  <c r="H112" i="21" s="1"/>
  <c r="F56" i="11" s="1"/>
  <c r="F682" i="4"/>
  <c r="E557" i="4"/>
  <c r="E503" i="4"/>
  <c r="E449" i="4"/>
  <c r="E400" i="4"/>
  <c r="E347" i="4"/>
  <c r="D23" i="8"/>
  <c r="E298" i="4"/>
  <c r="E91" i="4"/>
  <c r="E4" i="4"/>
  <c r="D24" i="3"/>
  <c r="G14" i="3"/>
  <c r="F14" i="11" l="1"/>
  <c r="C8" i="3"/>
  <c r="C13" i="3"/>
  <c r="F17" i="2"/>
  <c r="C18" i="16" l="1"/>
  <c r="B17" i="12"/>
  <c r="C17" i="12"/>
  <c r="D17" i="12"/>
  <c r="E17" i="12"/>
  <c r="F17" i="12"/>
  <c r="G17" i="12"/>
  <c r="H17" i="12"/>
  <c r="I17" i="12"/>
  <c r="J17" i="12"/>
  <c r="K17" i="12"/>
  <c r="L17" i="12"/>
  <c r="M17" i="12"/>
  <c r="L7" i="26"/>
  <c r="M7" i="26"/>
  <c r="K7" i="26"/>
  <c r="I7" i="26"/>
  <c r="J7" i="26"/>
  <c r="H7" i="26"/>
  <c r="F7" i="26"/>
  <c r="G7" i="26"/>
  <c r="E7" i="26"/>
  <c r="C7" i="26"/>
  <c r="D7" i="26"/>
  <c r="B7" i="26"/>
  <c r="B23" i="26"/>
  <c r="C23" i="26"/>
  <c r="D23" i="26"/>
  <c r="E23" i="26"/>
  <c r="F23" i="26"/>
  <c r="G23" i="26"/>
  <c r="H23" i="26"/>
  <c r="I23" i="26"/>
  <c r="J23" i="26"/>
  <c r="K23" i="26"/>
  <c r="L23" i="26"/>
  <c r="M23" i="26"/>
  <c r="B27" i="26"/>
  <c r="C27" i="26"/>
  <c r="D27" i="26"/>
  <c r="E27" i="26"/>
  <c r="F27" i="26"/>
  <c r="G27" i="26"/>
  <c r="H27" i="26"/>
  <c r="I27" i="26"/>
  <c r="J27" i="26"/>
  <c r="K27" i="26"/>
  <c r="L27" i="26"/>
  <c r="M27" i="26"/>
  <c r="U58" i="24"/>
  <c r="S58" i="24"/>
  <c r="N58" i="24"/>
  <c r="K58" i="24"/>
  <c r="J58" i="24"/>
  <c r="I58" i="24"/>
  <c r="F58" i="24"/>
  <c r="E58" i="24"/>
  <c r="X57" i="24"/>
  <c r="Y57" i="24" s="1"/>
  <c r="V57" i="24"/>
  <c r="W57" i="24" s="1"/>
  <c r="Q57" i="24"/>
  <c r="R57" i="24" s="1"/>
  <c r="L57" i="24"/>
  <c r="M57" i="24" s="1"/>
  <c r="G57" i="24"/>
  <c r="H57" i="24" s="1"/>
  <c r="Y56" i="24"/>
  <c r="V56" i="24"/>
  <c r="W56" i="24" s="1"/>
  <c r="Q56" i="24"/>
  <c r="R56" i="24" s="1"/>
  <c r="L56" i="24"/>
  <c r="M56" i="24" s="1"/>
  <c r="G56" i="24"/>
  <c r="H56" i="24" s="1"/>
  <c r="X55" i="24"/>
  <c r="Y55" i="24" s="1"/>
  <c r="V55" i="24"/>
  <c r="W55" i="24" s="1"/>
  <c r="Q55" i="24"/>
  <c r="R55" i="24" s="1"/>
  <c r="L55" i="24"/>
  <c r="M55" i="24" s="1"/>
  <c r="G55" i="24"/>
  <c r="H55" i="24" s="1"/>
  <c r="X54" i="24"/>
  <c r="Y54" i="24" s="1"/>
  <c r="V54" i="24"/>
  <c r="W54" i="24" s="1"/>
  <c r="Q54" i="24"/>
  <c r="R54" i="24" s="1"/>
  <c r="M54" i="24"/>
  <c r="L54" i="24"/>
  <c r="G54" i="24"/>
  <c r="H54" i="24" s="1"/>
  <c r="V53" i="24"/>
  <c r="W53" i="24" s="1"/>
  <c r="T53" i="24"/>
  <c r="T58" i="24" s="1"/>
  <c r="P53" i="24"/>
  <c r="P58" i="24" s="1"/>
  <c r="O53" i="24"/>
  <c r="O58" i="24" s="1"/>
  <c r="N53" i="24"/>
  <c r="L53" i="24"/>
  <c r="M53" i="24" s="1"/>
  <c r="D53" i="24"/>
  <c r="X52" i="24"/>
  <c r="V52" i="24"/>
  <c r="W52" i="24" s="1"/>
  <c r="Q52" i="24"/>
  <c r="R52" i="24" s="1"/>
  <c r="L52" i="24"/>
  <c r="M52" i="24" s="1"/>
  <c r="H52" i="24"/>
  <c r="G52" i="24"/>
  <c r="U50" i="24"/>
  <c r="T50" i="24"/>
  <c r="S50" i="24"/>
  <c r="S59" i="24" s="1"/>
  <c r="N50" i="24"/>
  <c r="Y49" i="24"/>
  <c r="V49" i="24"/>
  <c r="W49" i="24" s="1"/>
  <c r="Q49" i="24"/>
  <c r="R49" i="24" s="1"/>
  <c r="L49" i="24"/>
  <c r="M49" i="24" s="1"/>
  <c r="G49" i="24"/>
  <c r="H49" i="24" s="1"/>
  <c r="X48" i="24"/>
  <c r="Y48" i="24" s="1"/>
  <c r="V48" i="24"/>
  <c r="W48" i="24" s="1"/>
  <c r="Q48" i="24"/>
  <c r="R48" i="24" s="1"/>
  <c r="L48" i="24"/>
  <c r="M48" i="24" s="1"/>
  <c r="G48" i="24"/>
  <c r="H48" i="24" s="1"/>
  <c r="V47" i="24"/>
  <c r="W47" i="24" s="1"/>
  <c r="P47" i="24"/>
  <c r="P50" i="24" s="1"/>
  <c r="O47" i="24"/>
  <c r="O50" i="24" s="1"/>
  <c r="O59" i="24" s="1"/>
  <c r="K47" i="24"/>
  <c r="K50" i="24" s="1"/>
  <c r="K59" i="24" s="1"/>
  <c r="J47" i="24"/>
  <c r="J50" i="24" s="1"/>
  <c r="I47" i="24"/>
  <c r="I50" i="24" s="1"/>
  <c r="F47" i="24"/>
  <c r="E47" i="24"/>
  <c r="D47" i="24"/>
  <c r="C47" i="24"/>
  <c r="B47" i="24"/>
  <c r="X46" i="24"/>
  <c r="Y46" i="24" s="1"/>
  <c r="V46" i="24"/>
  <c r="W46" i="24" s="1"/>
  <c r="Q46" i="24"/>
  <c r="R46" i="24" s="1"/>
  <c r="L46" i="24"/>
  <c r="M46" i="24" s="1"/>
  <c r="G46" i="24"/>
  <c r="H46" i="24" s="1"/>
  <c r="V45" i="24"/>
  <c r="W45" i="24" s="1"/>
  <c r="Q45" i="24"/>
  <c r="R45" i="24" s="1"/>
  <c r="L45" i="24"/>
  <c r="M45" i="24" s="1"/>
  <c r="G45" i="24"/>
  <c r="H45" i="24" s="1"/>
  <c r="V44" i="24"/>
  <c r="W44" i="24" s="1"/>
  <c r="Q44" i="24"/>
  <c r="R44" i="24" s="1"/>
  <c r="L44" i="24"/>
  <c r="M44" i="24" s="1"/>
  <c r="E44" i="24"/>
  <c r="D44" i="24"/>
  <c r="C44" i="24"/>
  <c r="B44" i="24"/>
  <c r="X43" i="24"/>
  <c r="Y43" i="24" s="1"/>
  <c r="V43" i="24"/>
  <c r="W43" i="24" s="1"/>
  <c r="Q43" i="24"/>
  <c r="R43" i="24" s="1"/>
  <c r="L43" i="24"/>
  <c r="M43" i="24" s="1"/>
  <c r="G43" i="24"/>
  <c r="H43" i="24" s="1"/>
  <c r="X42" i="24"/>
  <c r="Y42" i="24" s="1"/>
  <c r="V42" i="24"/>
  <c r="W42" i="24" s="1"/>
  <c r="Q42" i="24"/>
  <c r="R42" i="24" s="1"/>
  <c r="L42" i="24"/>
  <c r="M42" i="24" s="1"/>
  <c r="G42" i="24"/>
  <c r="H42" i="24" s="1"/>
  <c r="X41" i="24"/>
  <c r="Y41" i="24" s="1"/>
  <c r="V41" i="24"/>
  <c r="W41" i="24" s="1"/>
  <c r="Q41" i="24"/>
  <c r="R41" i="24" s="1"/>
  <c r="L41" i="24"/>
  <c r="M41" i="24" s="1"/>
  <c r="G41" i="24"/>
  <c r="H41" i="24" s="1"/>
  <c r="X40" i="24"/>
  <c r="Y40" i="24" s="1"/>
  <c r="V40" i="24"/>
  <c r="W40" i="24" s="1"/>
  <c r="Q40" i="24"/>
  <c r="R40" i="24" s="1"/>
  <c r="L40" i="24"/>
  <c r="M40" i="24" s="1"/>
  <c r="G40" i="24"/>
  <c r="H40" i="24" s="1"/>
  <c r="X39" i="24"/>
  <c r="Y39" i="24" s="1"/>
  <c r="V39" i="24"/>
  <c r="W39" i="24" s="1"/>
  <c r="Q39" i="24"/>
  <c r="R39" i="24" s="1"/>
  <c r="L39" i="24"/>
  <c r="M39" i="24" s="1"/>
  <c r="G39" i="24"/>
  <c r="H39" i="24" s="1"/>
  <c r="X38" i="24"/>
  <c r="Y38" i="24" s="1"/>
  <c r="V38" i="24"/>
  <c r="W38" i="24" s="1"/>
  <c r="Q38" i="24"/>
  <c r="R38" i="24" s="1"/>
  <c r="L38" i="24"/>
  <c r="M38" i="24" s="1"/>
  <c r="G38" i="24"/>
  <c r="H38" i="24" s="1"/>
  <c r="X37" i="24"/>
  <c r="Y37" i="24" s="1"/>
  <c r="V37" i="24"/>
  <c r="W37" i="24" s="1"/>
  <c r="Q37" i="24"/>
  <c r="R37" i="24" s="1"/>
  <c r="L37" i="24"/>
  <c r="M37" i="24" s="1"/>
  <c r="G37" i="24"/>
  <c r="H37" i="24" s="1"/>
  <c r="X36" i="24"/>
  <c r="Y36" i="24" s="1"/>
  <c r="V36" i="24"/>
  <c r="W36" i="24" s="1"/>
  <c r="Q36" i="24"/>
  <c r="R36" i="24" s="1"/>
  <c r="L36" i="24"/>
  <c r="M36" i="24" s="1"/>
  <c r="G36" i="24"/>
  <c r="H36" i="24" s="1"/>
  <c r="G4" i="10"/>
  <c r="G5" i="10"/>
  <c r="U59" i="24" l="1"/>
  <c r="T59" i="24"/>
  <c r="J59" i="24"/>
  <c r="X44" i="24"/>
  <c r="Y44" i="24" s="1"/>
  <c r="X47" i="24"/>
  <c r="Y47" i="24" s="1"/>
  <c r="Q47" i="24"/>
  <c r="R47" i="24" s="1"/>
  <c r="L58" i="24"/>
  <c r="M58" i="24" s="1"/>
  <c r="V59" i="24"/>
  <c r="N23" i="26"/>
  <c r="Q50" i="24"/>
  <c r="R50" i="24" s="1"/>
  <c r="F50" i="24"/>
  <c r="F59" i="24" s="1"/>
  <c r="X53" i="24"/>
  <c r="Y53" i="24" s="1"/>
  <c r="B18" i="12"/>
  <c r="N12" i="12"/>
  <c r="O12" i="12" s="1"/>
  <c r="Q53" i="24"/>
  <c r="R53" i="24" s="1"/>
  <c r="E50" i="24"/>
  <c r="E59" i="24" s="1"/>
  <c r="Y52" i="24"/>
  <c r="V58" i="24"/>
  <c r="W58" i="24" s="1"/>
  <c r="N27" i="26"/>
  <c r="N7" i="26"/>
  <c r="Y50" i="24"/>
  <c r="I59" i="24"/>
  <c r="L59" i="24" s="1"/>
  <c r="L50" i="24"/>
  <c r="M50" i="24" s="1"/>
  <c r="M59" i="24" s="1"/>
  <c r="P59" i="24"/>
  <c r="Q58" i="24"/>
  <c r="R58" i="24" s="1"/>
  <c r="G47" i="24"/>
  <c r="H47" i="24" s="1"/>
  <c r="V50" i="24"/>
  <c r="W50" i="24" s="1"/>
  <c r="D58" i="24"/>
  <c r="G58" i="24" s="1"/>
  <c r="H58" i="24" s="1"/>
  <c r="N59" i="24"/>
  <c r="L47" i="24"/>
  <c r="M47" i="24" s="1"/>
  <c r="D50" i="24"/>
  <c r="G44" i="24"/>
  <c r="H44" i="24" s="1"/>
  <c r="G53" i="24"/>
  <c r="H53" i="24" s="1"/>
  <c r="AR3" i="23"/>
  <c r="AR2" i="23"/>
  <c r="AR14" i="23"/>
  <c r="AN18" i="23"/>
  <c r="AM18" i="23"/>
  <c r="AO16" i="23"/>
  <c r="AO15" i="23"/>
  <c r="AO14" i="23"/>
  <c r="AO12" i="23"/>
  <c r="AO11" i="23"/>
  <c r="AO10" i="23"/>
  <c r="AO9" i="23"/>
  <c r="AO8" i="23"/>
  <c r="AO7" i="23"/>
  <c r="AO6" i="23"/>
  <c r="AO5" i="23"/>
  <c r="AO3" i="23"/>
  <c r="AO2" i="23"/>
  <c r="X58" i="24" l="1"/>
  <c r="R59" i="24"/>
  <c r="W59" i="24"/>
  <c r="Y58" i="24"/>
  <c r="Y59" i="24" s="1"/>
  <c r="O7" i="26"/>
  <c r="Q59" i="24"/>
  <c r="D59" i="24"/>
  <c r="X50" i="24"/>
  <c r="X59" i="24" s="1"/>
  <c r="G50" i="24"/>
  <c r="H50" i="24" l="1"/>
  <c r="H59" i="24" s="1"/>
  <c r="G59" i="24"/>
  <c r="C103" i="1"/>
  <c r="C52" i="1"/>
  <c r="C45" i="1"/>
  <c r="C40" i="1"/>
  <c r="C35" i="1"/>
  <c r="C34" i="1"/>
  <c r="C28" i="1"/>
  <c r="C29" i="1"/>
  <c r="C31" i="1"/>
  <c r="C32" i="1"/>
  <c r="C33" i="1"/>
  <c r="C46" i="1"/>
  <c r="C48" i="1"/>
  <c r="C49" i="1"/>
  <c r="C50" i="1"/>
  <c r="C63" i="1"/>
  <c r="C65" i="1"/>
  <c r="C66" i="1"/>
  <c r="C67" i="1"/>
  <c r="C80" i="1"/>
  <c r="C82" i="1"/>
  <c r="C83" i="1"/>
  <c r="C84" i="1"/>
  <c r="C97" i="1"/>
  <c r="C99" i="1"/>
  <c r="C100" i="1"/>
  <c r="C101" i="1"/>
  <c r="C114" i="1"/>
  <c r="C116" i="1"/>
  <c r="C117" i="1"/>
  <c r="C118" i="1"/>
  <c r="C131" i="1"/>
  <c r="C133" i="1"/>
  <c r="C134" i="1"/>
  <c r="C135" i="1"/>
  <c r="C148" i="1"/>
  <c r="C150" i="1"/>
  <c r="C151" i="1"/>
  <c r="C152" i="1"/>
  <c r="C165" i="1"/>
  <c r="C167" i="1"/>
  <c r="C168" i="1"/>
  <c r="C169" i="1"/>
  <c r="C182" i="1"/>
  <c r="C184" i="1"/>
  <c r="C185" i="1"/>
  <c r="C186" i="1"/>
  <c r="C199" i="1"/>
  <c r="C201" i="1"/>
  <c r="C202" i="1"/>
  <c r="C203" i="1"/>
  <c r="V76" i="24" l="1"/>
  <c r="X67" i="24"/>
  <c r="E43" i="11" l="1"/>
  <c r="F27" i="11"/>
  <c r="F20" i="11"/>
  <c r="E9" i="16" s="1"/>
  <c r="F18" i="11"/>
  <c r="F52" i="11" s="1"/>
  <c r="F17" i="11"/>
  <c r="F51" i="11" s="1"/>
  <c r="F16" i="11"/>
  <c r="F9" i="11"/>
  <c r="D28" i="8"/>
  <c r="D18" i="8"/>
  <c r="D15" i="8"/>
  <c r="D11" i="8"/>
  <c r="F11" i="8" s="1"/>
  <c r="D10" i="8"/>
  <c r="F10" i="8" s="1"/>
  <c r="D9" i="8"/>
  <c r="D31" i="8" l="1"/>
  <c r="E6" i="16"/>
  <c r="E10" i="16"/>
  <c r="F50" i="11"/>
  <c r="G3" i="10"/>
  <c r="E114" i="21" l="1"/>
  <c r="E123" i="21"/>
  <c r="E116" i="21"/>
  <c r="E99" i="21"/>
  <c r="E81" i="21"/>
  <c r="F82" i="21" s="1"/>
  <c r="H82" i="21" s="1"/>
  <c r="E67" i="21"/>
  <c r="E71" i="21"/>
  <c r="E49" i="21"/>
  <c r="E33" i="21"/>
  <c r="E32" i="21"/>
  <c r="E31" i="21"/>
  <c r="E604" i="4"/>
  <c r="E596" i="4"/>
  <c r="E595" i="4"/>
  <c r="E437" i="4"/>
  <c r="F447" i="4" s="1"/>
  <c r="E446" i="4"/>
  <c r="E438" i="4"/>
  <c r="E389" i="4"/>
  <c r="E335" i="4"/>
  <c r="E344" i="4"/>
  <c r="E336" i="4"/>
  <c r="F605" i="4" l="1"/>
  <c r="H605" i="4" s="1"/>
  <c r="H447" i="4"/>
  <c r="E287" i="4"/>
  <c r="E88" i="4"/>
  <c r="E80" i="4"/>
  <c r="F25" i="11" l="1"/>
  <c r="F345" i="4"/>
  <c r="H345" i="4" s="1"/>
  <c r="E43" i="4" l="1"/>
  <c r="F44" i="4" s="1"/>
  <c r="E658" i="4"/>
  <c r="E650" i="4"/>
  <c r="E649" i="4"/>
  <c r="F659" i="4" l="1"/>
  <c r="E554" i="4"/>
  <c r="E546" i="4"/>
  <c r="E545" i="4"/>
  <c r="E500" i="4"/>
  <c r="E492" i="4"/>
  <c r="E491" i="4"/>
  <c r="F501" i="4" s="1"/>
  <c r="H501" i="4" s="1"/>
  <c r="E397" i="4"/>
  <c r="E388" i="4"/>
  <c r="F398" i="4" s="1"/>
  <c r="H398" i="4" s="1"/>
  <c r="H659" i="4" l="1"/>
  <c r="F555" i="4"/>
  <c r="H555" i="4" s="1"/>
  <c r="E241" i="4"/>
  <c r="E233" i="4"/>
  <c r="E232" i="4"/>
  <c r="E189" i="4"/>
  <c r="E181" i="4"/>
  <c r="E180" i="4"/>
  <c r="E137" i="4"/>
  <c r="E129" i="4"/>
  <c r="E128" i="4"/>
  <c r="F190" i="4" l="1"/>
  <c r="H190" i="4" s="1"/>
  <c r="F242" i="4"/>
  <c r="H242" i="4" s="1"/>
  <c r="F138" i="4"/>
  <c r="H138" i="4" s="1"/>
  <c r="G8" i="10" l="1"/>
  <c r="G9" i="10"/>
  <c r="G10" i="10"/>
  <c r="G11" i="10"/>
  <c r="G12" i="10"/>
  <c r="G13" i="10"/>
  <c r="G14" i="10"/>
  <c r="G15" i="10"/>
  <c r="G16" i="10"/>
  <c r="G17" i="10"/>
  <c r="G18" i="10"/>
  <c r="G19" i="10"/>
  <c r="G21" i="10"/>
  <c r="G6" i="10"/>
  <c r="G24" i="10"/>
  <c r="G25" i="10"/>
  <c r="G26" i="10"/>
  <c r="G27" i="10"/>
  <c r="G28" i="10"/>
  <c r="G29" i="10"/>
  <c r="G30" i="10"/>
  <c r="G31" i="10"/>
  <c r="G32" i="10"/>
  <c r="G33" i="10"/>
  <c r="G34" i="10"/>
  <c r="G35" i="10"/>
  <c r="G36" i="10"/>
  <c r="G37" i="10"/>
  <c r="G38" i="10"/>
  <c r="G39" i="10"/>
  <c r="G40" i="10"/>
  <c r="G41" i="10"/>
  <c r="G42" i="10"/>
  <c r="G43" i="10"/>
  <c r="G44" i="10"/>
  <c r="G45" i="10"/>
  <c r="G46" i="10"/>
  <c r="G47" i="10"/>
  <c r="G48" i="10"/>
  <c r="G49" i="10"/>
  <c r="G50" i="10"/>
  <c r="G51" i="10"/>
  <c r="G52" i="10"/>
  <c r="G54" i="10"/>
  <c r="G55" i="10"/>
  <c r="G7" i="10"/>
  <c r="G76" i="24" l="1"/>
  <c r="H76" i="24" s="1"/>
  <c r="X76" i="24"/>
  <c r="W76" i="24"/>
  <c r="N4" i="12"/>
  <c r="L11" i="26"/>
  <c r="I11" i="26"/>
  <c r="F11" i="26"/>
  <c r="G11" i="26"/>
  <c r="E11" i="26"/>
  <c r="C11" i="26"/>
  <c r="D11" i="26"/>
  <c r="B11" i="26"/>
  <c r="E89" i="24"/>
  <c r="D89" i="24"/>
  <c r="X88" i="24"/>
  <c r="Y88" i="24" s="1"/>
  <c r="V88" i="24"/>
  <c r="W88" i="24" s="1"/>
  <c r="Q88" i="24"/>
  <c r="R88" i="24" s="1"/>
  <c r="L88" i="24"/>
  <c r="M88" i="24" s="1"/>
  <c r="G88" i="24"/>
  <c r="H88" i="24" s="1"/>
  <c r="Y87" i="24"/>
  <c r="V87" i="24"/>
  <c r="W87" i="24" s="1"/>
  <c r="Q87" i="24"/>
  <c r="R87" i="24" s="1"/>
  <c r="L87" i="24"/>
  <c r="M87" i="24" s="1"/>
  <c r="G87" i="24"/>
  <c r="H87" i="24" s="1"/>
  <c r="X86" i="24"/>
  <c r="Y86" i="24" s="1"/>
  <c r="V86" i="24"/>
  <c r="W86" i="24" s="1"/>
  <c r="Q86" i="24"/>
  <c r="R86" i="24" s="1"/>
  <c r="L86" i="24"/>
  <c r="M86" i="24" s="1"/>
  <c r="G86" i="24"/>
  <c r="H86" i="24" s="1"/>
  <c r="X85" i="24"/>
  <c r="Y85" i="24" s="1"/>
  <c r="V85" i="24"/>
  <c r="W85" i="24" s="1"/>
  <c r="Q85" i="24"/>
  <c r="R85" i="24" s="1"/>
  <c r="L85" i="24"/>
  <c r="M85" i="24" s="1"/>
  <c r="G85" i="24"/>
  <c r="H85" i="24" s="1"/>
  <c r="U84" i="24"/>
  <c r="T84" i="24"/>
  <c r="T89" i="24" s="1"/>
  <c r="S84" i="24"/>
  <c r="P84" i="24"/>
  <c r="O84" i="24"/>
  <c r="O89" i="24" s="1"/>
  <c r="N84" i="24"/>
  <c r="K84" i="24"/>
  <c r="K89" i="24" s="1"/>
  <c r="J84" i="24"/>
  <c r="J89" i="24" s="1"/>
  <c r="I84" i="24"/>
  <c r="F84" i="24"/>
  <c r="U83" i="24"/>
  <c r="M11" i="26" s="1"/>
  <c r="S83" i="24"/>
  <c r="P83" i="24"/>
  <c r="N83" i="24"/>
  <c r="L83" i="24"/>
  <c r="M83" i="24" s="1"/>
  <c r="G83" i="24"/>
  <c r="H83" i="24" s="1"/>
  <c r="Y80" i="24"/>
  <c r="V80" i="24"/>
  <c r="W80" i="24" s="1"/>
  <c r="Q80" i="24"/>
  <c r="R80" i="24" s="1"/>
  <c r="L80" i="24"/>
  <c r="M80" i="24" s="1"/>
  <c r="G80" i="24"/>
  <c r="H80" i="24" s="1"/>
  <c r="X79" i="24"/>
  <c r="Y79" i="24" s="1"/>
  <c r="V79" i="24"/>
  <c r="W79" i="24" s="1"/>
  <c r="Q79" i="24"/>
  <c r="R79" i="24" s="1"/>
  <c r="L79" i="24"/>
  <c r="M79" i="24" s="1"/>
  <c r="G79" i="24"/>
  <c r="H79" i="24" s="1"/>
  <c r="U78" i="24"/>
  <c r="T78" i="24"/>
  <c r="S78" i="24"/>
  <c r="P78" i="24"/>
  <c r="O78" i="24"/>
  <c r="N78" i="24"/>
  <c r="Q78" i="24" s="1"/>
  <c r="R78" i="24" s="1"/>
  <c r="K78" i="24"/>
  <c r="J78" i="24"/>
  <c r="I78" i="24"/>
  <c r="F78" i="24"/>
  <c r="E78" i="24"/>
  <c r="D78" i="24"/>
  <c r="C78" i="24"/>
  <c r="B78" i="24"/>
  <c r="X77" i="24"/>
  <c r="Y77" i="24" s="1"/>
  <c r="V77" i="24"/>
  <c r="W77" i="24" s="1"/>
  <c r="Q77" i="24"/>
  <c r="R77" i="24" s="1"/>
  <c r="L77" i="24"/>
  <c r="M77" i="24" s="1"/>
  <c r="G77" i="24"/>
  <c r="H77" i="24" s="1"/>
  <c r="Q76" i="24"/>
  <c r="R76" i="24" s="1"/>
  <c r="L76" i="24"/>
  <c r="M76" i="24" s="1"/>
  <c r="U75" i="24"/>
  <c r="T75" i="24"/>
  <c r="S75" i="24"/>
  <c r="P75" i="24"/>
  <c r="O75" i="24"/>
  <c r="N75" i="24"/>
  <c r="K75" i="24"/>
  <c r="J75" i="24"/>
  <c r="I75" i="24"/>
  <c r="F75" i="24"/>
  <c r="E75" i="24"/>
  <c r="E81" i="24" s="1"/>
  <c r="D75" i="24"/>
  <c r="C75" i="24"/>
  <c r="B75" i="24"/>
  <c r="X74" i="24"/>
  <c r="Y74" i="24" s="1"/>
  <c r="V74" i="24"/>
  <c r="W74" i="24" s="1"/>
  <c r="Q74" i="24"/>
  <c r="R74" i="24" s="1"/>
  <c r="L74" i="24"/>
  <c r="M74" i="24" s="1"/>
  <c r="G74" i="24"/>
  <c r="H74" i="24" s="1"/>
  <c r="X73" i="24"/>
  <c r="Y73" i="24" s="1"/>
  <c r="V73" i="24"/>
  <c r="W73" i="24" s="1"/>
  <c r="Q73" i="24"/>
  <c r="R73" i="24" s="1"/>
  <c r="L73" i="24"/>
  <c r="M73" i="24" s="1"/>
  <c r="G73" i="24"/>
  <c r="H73" i="24" s="1"/>
  <c r="X72" i="24"/>
  <c r="Y72" i="24" s="1"/>
  <c r="V72" i="24"/>
  <c r="W72" i="24" s="1"/>
  <c r="Q72" i="24"/>
  <c r="R72" i="24" s="1"/>
  <c r="L72" i="24"/>
  <c r="M72" i="24" s="1"/>
  <c r="G72" i="24"/>
  <c r="H72" i="24" s="1"/>
  <c r="X71" i="24"/>
  <c r="Y71" i="24" s="1"/>
  <c r="V71" i="24"/>
  <c r="W71" i="24" s="1"/>
  <c r="Q71" i="24"/>
  <c r="R71" i="24" s="1"/>
  <c r="L71" i="24"/>
  <c r="M71" i="24" s="1"/>
  <c r="G71" i="24"/>
  <c r="H71" i="24" s="1"/>
  <c r="X70" i="24"/>
  <c r="Y70" i="24" s="1"/>
  <c r="V70" i="24"/>
  <c r="W70" i="24" s="1"/>
  <c r="Q70" i="24"/>
  <c r="R70" i="24" s="1"/>
  <c r="L70" i="24"/>
  <c r="M70" i="24" s="1"/>
  <c r="G70" i="24"/>
  <c r="H70" i="24" s="1"/>
  <c r="X69" i="24"/>
  <c r="Y69" i="24" s="1"/>
  <c r="V69" i="24"/>
  <c r="W69" i="24" s="1"/>
  <c r="Q69" i="24"/>
  <c r="R69" i="24" s="1"/>
  <c r="M69" i="24"/>
  <c r="L69" i="24"/>
  <c r="G69" i="24"/>
  <c r="H69" i="24" s="1"/>
  <c r="X68" i="24"/>
  <c r="Y68" i="24" s="1"/>
  <c r="V68" i="24"/>
  <c r="W68" i="24" s="1"/>
  <c r="Q68" i="24"/>
  <c r="R68" i="24" s="1"/>
  <c r="L68" i="24"/>
  <c r="M68" i="24" s="1"/>
  <c r="G68" i="24"/>
  <c r="H68" i="24" s="1"/>
  <c r="Y67" i="24"/>
  <c r="V67" i="24"/>
  <c r="W67" i="24" s="1"/>
  <c r="Q67" i="24"/>
  <c r="R67" i="24" s="1"/>
  <c r="L67" i="24"/>
  <c r="M67" i="24" s="1"/>
  <c r="G67" i="24"/>
  <c r="H67" i="24" s="1"/>
  <c r="F103" i="24"/>
  <c r="G103" i="24" s="1"/>
  <c r="K103" i="24"/>
  <c r="L103" i="24" s="1"/>
  <c r="P103" i="24"/>
  <c r="Q103" i="24" s="1"/>
  <c r="U103" i="24"/>
  <c r="V103" i="24" s="1"/>
  <c r="W103" i="24"/>
  <c r="X103" i="24" s="1"/>
  <c r="F104" i="24"/>
  <c r="G104" i="24" s="1"/>
  <c r="K104" i="24"/>
  <c r="L104" i="24" s="1"/>
  <c r="P104" i="24"/>
  <c r="Q104" i="24" s="1"/>
  <c r="U104" i="24"/>
  <c r="V104" i="24" s="1"/>
  <c r="W104" i="24"/>
  <c r="X104" i="24" s="1"/>
  <c r="F105" i="24"/>
  <c r="G105" i="24" s="1"/>
  <c r="K105" i="24"/>
  <c r="L105" i="24" s="1"/>
  <c r="P105" i="24"/>
  <c r="Q105" i="24" s="1"/>
  <c r="U105" i="24"/>
  <c r="V105" i="24" s="1"/>
  <c r="W105" i="24"/>
  <c r="X105" i="24" s="1"/>
  <c r="F106" i="24"/>
  <c r="G106" i="24" s="1"/>
  <c r="K106" i="24"/>
  <c r="L106" i="24"/>
  <c r="P106" i="24"/>
  <c r="Q106" i="24" s="1"/>
  <c r="U106" i="24"/>
  <c r="V106" i="24" s="1"/>
  <c r="W106" i="24"/>
  <c r="X106" i="24" s="1"/>
  <c r="F107" i="24"/>
  <c r="G107" i="24" s="1"/>
  <c r="K107" i="24"/>
  <c r="L107" i="24" s="1"/>
  <c r="P107" i="24"/>
  <c r="Q107" i="24" s="1"/>
  <c r="U107" i="24"/>
  <c r="V107" i="24" s="1"/>
  <c r="W107" i="24"/>
  <c r="X107" i="24" s="1"/>
  <c r="F108" i="24"/>
  <c r="G108" i="24" s="1"/>
  <c r="K108" i="24"/>
  <c r="L108" i="24" s="1"/>
  <c r="P108" i="24"/>
  <c r="Q108" i="24" s="1"/>
  <c r="U108" i="24"/>
  <c r="V108" i="24" s="1"/>
  <c r="W108" i="24"/>
  <c r="X108" i="24" s="1"/>
  <c r="F109" i="24"/>
  <c r="G109" i="24" s="1"/>
  <c r="K109" i="24"/>
  <c r="L109" i="24" s="1"/>
  <c r="P109" i="24"/>
  <c r="Q109" i="24" s="1"/>
  <c r="U109" i="24"/>
  <c r="V109" i="24" s="1"/>
  <c r="W109" i="24"/>
  <c r="X109" i="24" s="1"/>
  <c r="F110" i="24"/>
  <c r="G110" i="24" s="1"/>
  <c r="K110" i="24"/>
  <c r="L110" i="24" s="1"/>
  <c r="P110" i="24"/>
  <c r="Q110" i="24" s="1"/>
  <c r="U110" i="24"/>
  <c r="V110" i="24" s="1"/>
  <c r="W110" i="24"/>
  <c r="X110" i="24" s="1"/>
  <c r="C111" i="24"/>
  <c r="D111" i="24"/>
  <c r="E111" i="24"/>
  <c r="H111" i="24"/>
  <c r="I111" i="24"/>
  <c r="J111" i="24"/>
  <c r="J117" i="24" s="1"/>
  <c r="J126" i="24" s="1"/>
  <c r="M111" i="24"/>
  <c r="N111" i="24"/>
  <c r="N117" i="24" s="1"/>
  <c r="N126" i="24" s="1"/>
  <c r="O111" i="24"/>
  <c r="R111" i="24"/>
  <c r="S111" i="24"/>
  <c r="T111" i="24"/>
  <c r="G112" i="24"/>
  <c r="K112" i="24"/>
  <c r="L112" i="24" s="1"/>
  <c r="P112" i="24"/>
  <c r="Q112" i="24"/>
  <c r="U112" i="24"/>
  <c r="V112" i="24" s="1"/>
  <c r="W112" i="24"/>
  <c r="X112" i="24" s="1"/>
  <c r="F113" i="24"/>
  <c r="G113" i="24" s="1"/>
  <c r="K113" i="24"/>
  <c r="L113" i="24"/>
  <c r="P113" i="24"/>
  <c r="Q113" i="24" s="1"/>
  <c r="U113" i="24"/>
  <c r="V113" i="24" s="1"/>
  <c r="W113" i="24"/>
  <c r="X113" i="24" s="1"/>
  <c r="C114" i="24"/>
  <c r="D114" i="24"/>
  <c r="E114" i="24"/>
  <c r="H114" i="24"/>
  <c r="I114" i="24"/>
  <c r="J114" i="24"/>
  <c r="M114" i="24"/>
  <c r="N114" i="24"/>
  <c r="O114" i="24"/>
  <c r="P114" i="24"/>
  <c r="Q114" i="24" s="1"/>
  <c r="R114" i="24"/>
  <c r="S114" i="24"/>
  <c r="T114" i="24"/>
  <c r="F115" i="24"/>
  <c r="G115" i="24" s="1"/>
  <c r="K115" i="24"/>
  <c r="L115" i="24"/>
  <c r="P115" i="24"/>
  <c r="Q115" i="24" s="1"/>
  <c r="U115" i="24"/>
  <c r="V115" i="24" s="1"/>
  <c r="W115" i="24"/>
  <c r="X115" i="24" s="1"/>
  <c r="F116" i="24"/>
  <c r="G116" i="24"/>
  <c r="K116" i="24"/>
  <c r="L116" i="24" s="1"/>
  <c r="P116" i="24"/>
  <c r="Q116" i="24" s="1"/>
  <c r="U116" i="24"/>
  <c r="V116" i="24" s="1"/>
  <c r="X116" i="24"/>
  <c r="C117" i="24"/>
  <c r="C126" i="24" s="1"/>
  <c r="F119" i="24"/>
  <c r="G119" i="24" s="1"/>
  <c r="H119" i="24"/>
  <c r="W119" i="24" s="1"/>
  <c r="P119" i="24"/>
  <c r="Q119" i="24"/>
  <c r="U119" i="24"/>
  <c r="V119" i="24"/>
  <c r="F120" i="24"/>
  <c r="G120" i="24"/>
  <c r="K120" i="24"/>
  <c r="L120" i="24" s="1"/>
  <c r="P120" i="24"/>
  <c r="Q120" i="24"/>
  <c r="U120" i="24"/>
  <c r="V120" i="24" s="1"/>
  <c r="W120" i="24"/>
  <c r="X120" i="24" s="1"/>
  <c r="F121" i="24"/>
  <c r="G121" i="24"/>
  <c r="K121" i="24"/>
  <c r="L121" i="24"/>
  <c r="P121" i="24"/>
  <c r="Q121" i="24"/>
  <c r="U121" i="24"/>
  <c r="V121" i="24"/>
  <c r="W121" i="24"/>
  <c r="X121" i="24"/>
  <c r="F122" i="24"/>
  <c r="G122" i="24" s="1"/>
  <c r="K122" i="24"/>
  <c r="L122" i="24" s="1"/>
  <c r="P122" i="24"/>
  <c r="Q122" i="24"/>
  <c r="U122" i="24"/>
  <c r="V122" i="24"/>
  <c r="W122" i="24"/>
  <c r="X122" i="24"/>
  <c r="F123" i="24"/>
  <c r="G123" i="24"/>
  <c r="K123" i="24"/>
  <c r="L123" i="24"/>
  <c r="P123" i="24"/>
  <c r="Q123" i="24" s="1"/>
  <c r="U123" i="24"/>
  <c r="V123" i="24" s="1"/>
  <c r="X123" i="24"/>
  <c r="F124" i="24"/>
  <c r="G124" i="24" s="1"/>
  <c r="K124" i="24"/>
  <c r="L124" i="24"/>
  <c r="P124" i="24"/>
  <c r="Q124" i="24" s="1"/>
  <c r="U124" i="24"/>
  <c r="V124" i="24" s="1"/>
  <c r="W124" i="24"/>
  <c r="X124" i="24" s="1"/>
  <c r="C125" i="24"/>
  <c r="D125" i="24"/>
  <c r="E125" i="24"/>
  <c r="I125" i="24"/>
  <c r="J125" i="24"/>
  <c r="M125" i="24"/>
  <c r="N125" i="24"/>
  <c r="O125" i="24"/>
  <c r="R125" i="24"/>
  <c r="S125" i="24"/>
  <c r="T125" i="24"/>
  <c r="U125" i="24"/>
  <c r="V125" i="24" s="1"/>
  <c r="V78" i="24" l="1"/>
  <c r="W78" i="24" s="1"/>
  <c r="K81" i="24"/>
  <c r="O81" i="24"/>
  <c r="O90" i="24" s="1"/>
  <c r="U81" i="24"/>
  <c r="U114" i="24"/>
  <c r="V114" i="24" s="1"/>
  <c r="O117" i="24"/>
  <c r="O126" i="24" s="1"/>
  <c r="P89" i="24"/>
  <c r="S117" i="24"/>
  <c r="S126" i="24" s="1"/>
  <c r="P111" i="24"/>
  <c r="Q111" i="24" s="1"/>
  <c r="E117" i="24"/>
  <c r="E126" i="24" s="1"/>
  <c r="J81" i="24"/>
  <c r="P81" i="24"/>
  <c r="P90" i="24" s="1"/>
  <c r="V84" i="24"/>
  <c r="W84" i="24" s="1"/>
  <c r="E90" i="24"/>
  <c r="W114" i="24"/>
  <c r="X114" i="24" s="1"/>
  <c r="G75" i="24"/>
  <c r="H75" i="24" s="1"/>
  <c r="X75" i="24"/>
  <c r="Y75" i="24" s="1"/>
  <c r="X83" i="24"/>
  <c r="N89" i="24"/>
  <c r="F89" i="24"/>
  <c r="G89" i="24" s="1"/>
  <c r="H89" i="24" s="1"/>
  <c r="G84" i="24"/>
  <c r="H84" i="24" s="1"/>
  <c r="U111" i="24"/>
  <c r="V111" i="24" s="1"/>
  <c r="R117" i="24"/>
  <c r="W111" i="24"/>
  <c r="X111" i="24" s="1"/>
  <c r="X117" i="24" s="1"/>
  <c r="L75" i="24"/>
  <c r="M75" i="24" s="1"/>
  <c r="I81" i="24"/>
  <c r="L81" i="24" s="1"/>
  <c r="M81" i="24" s="1"/>
  <c r="M90" i="24" s="1"/>
  <c r="H11" i="26"/>
  <c r="J90" i="24"/>
  <c r="J11" i="26"/>
  <c r="P125" i="24"/>
  <c r="Q125" i="24" s="1"/>
  <c r="F114" i="24"/>
  <c r="G114" i="24" s="1"/>
  <c r="I117" i="24"/>
  <c r="I126" i="24" s="1"/>
  <c r="F111" i="24"/>
  <c r="G111" i="24" s="1"/>
  <c r="F81" i="24"/>
  <c r="K90" i="24"/>
  <c r="V75" i="24"/>
  <c r="W75" i="24" s="1"/>
  <c r="G78" i="24"/>
  <c r="H78" i="24" s="1"/>
  <c r="L78" i="24"/>
  <c r="M78" i="24" s="1"/>
  <c r="S89" i="24"/>
  <c r="X84" i="24"/>
  <c r="Y84" i="24" s="1"/>
  <c r="F125" i="24"/>
  <c r="G125" i="24" s="1"/>
  <c r="K114" i="24"/>
  <c r="L114" i="24" s="1"/>
  <c r="T117" i="24"/>
  <c r="T126" i="24" s="1"/>
  <c r="K111" i="24"/>
  <c r="L111" i="24" s="1"/>
  <c r="N81" i="24"/>
  <c r="T81" i="24"/>
  <c r="T90" i="24" s="1"/>
  <c r="U89" i="24"/>
  <c r="U90" i="24" s="1"/>
  <c r="K11" i="26"/>
  <c r="Y76" i="24"/>
  <c r="N90" i="24"/>
  <c r="Q89" i="24"/>
  <c r="R89" i="24" s="1"/>
  <c r="Q75" i="24"/>
  <c r="R75" i="24" s="1"/>
  <c r="X78" i="24"/>
  <c r="Y78" i="24" s="1"/>
  <c r="S81" i="24"/>
  <c r="Q84" i="24"/>
  <c r="R84" i="24" s="1"/>
  <c r="D81" i="24"/>
  <c r="Q83" i="24"/>
  <c r="R83" i="24" s="1"/>
  <c r="V83" i="24"/>
  <c r="W83" i="24" s="1"/>
  <c r="I89" i="24"/>
  <c r="L89" i="24" s="1"/>
  <c r="M89" i="24" s="1"/>
  <c r="L84" i="24"/>
  <c r="M84" i="24" s="1"/>
  <c r="X119" i="24"/>
  <c r="X125" i="24" s="1"/>
  <c r="W125" i="24"/>
  <c r="M117" i="24"/>
  <c r="K119" i="24"/>
  <c r="L119" i="24" s="1"/>
  <c r="H117" i="24"/>
  <c r="D117" i="24"/>
  <c r="F117" i="24" s="1"/>
  <c r="H125" i="24"/>
  <c r="K125" i="24" s="1"/>
  <c r="L125" i="24" s="1"/>
  <c r="F43" i="11"/>
  <c r="I4" i="11"/>
  <c r="F44" i="11"/>
  <c r="F42" i="11"/>
  <c r="E4" i="2"/>
  <c r="F23" i="8"/>
  <c r="F9" i="8"/>
  <c r="F12" i="8"/>
  <c r="AQ18" i="23"/>
  <c r="AP18" i="23"/>
  <c r="C14" i="6"/>
  <c r="C13" i="6"/>
  <c r="C12" i="6"/>
  <c r="C11" i="6"/>
  <c r="C10" i="6"/>
  <c r="C9" i="6"/>
  <c r="C8" i="6"/>
  <c r="C5" i="6"/>
  <c r="C4" i="6"/>
  <c r="F60" i="10"/>
  <c r="F63" i="10" s="1"/>
  <c r="I26" i="12"/>
  <c r="J26" i="12"/>
  <c r="H26" i="12"/>
  <c r="D26" i="12"/>
  <c r="F133" i="21"/>
  <c r="G20" i="1"/>
  <c r="L15" i="26"/>
  <c r="M15" i="26"/>
  <c r="K15" i="26"/>
  <c r="I15" i="26"/>
  <c r="J15" i="26"/>
  <c r="H15" i="26"/>
  <c r="F15" i="26"/>
  <c r="G15" i="26"/>
  <c r="C15" i="26"/>
  <c r="D15" i="26"/>
  <c r="B15" i="26"/>
  <c r="D60" i="10"/>
  <c r="D63" i="10" s="1"/>
  <c r="E60" i="10"/>
  <c r="G59" i="10"/>
  <c r="E126" i="21"/>
  <c r="H20" i="1"/>
  <c r="C220" i="1"/>
  <c r="C219" i="1"/>
  <c r="C218" i="1"/>
  <c r="C216" i="1"/>
  <c r="G17" i="2"/>
  <c r="N7" i="12"/>
  <c r="O7" i="12" s="1"/>
  <c r="D30" i="16" s="1"/>
  <c r="AZ6" i="23" s="1"/>
  <c r="N9" i="12"/>
  <c r="O9" i="12" s="1"/>
  <c r="D32" i="16" s="1"/>
  <c r="N17" i="12"/>
  <c r="O17" i="12" s="1"/>
  <c r="N16" i="12"/>
  <c r="O16" i="12" s="1"/>
  <c r="D39" i="16" s="1"/>
  <c r="AZ16" i="23" s="1"/>
  <c r="L19" i="26"/>
  <c r="M19" i="26"/>
  <c r="K19" i="26"/>
  <c r="I19" i="26"/>
  <c r="J19" i="26"/>
  <c r="H19" i="26"/>
  <c r="F19" i="26"/>
  <c r="G19" i="26"/>
  <c r="E19" i="26"/>
  <c r="C19" i="26"/>
  <c r="D19" i="26"/>
  <c r="B19" i="26"/>
  <c r="H159" i="24"/>
  <c r="E159" i="24"/>
  <c r="D159" i="24"/>
  <c r="C159" i="24"/>
  <c r="W158" i="24"/>
  <c r="X158" i="24" s="1"/>
  <c r="U158" i="24"/>
  <c r="V158" i="24" s="1"/>
  <c r="P158" i="24"/>
  <c r="Q158" i="24" s="1"/>
  <c r="K158" i="24"/>
  <c r="L158" i="24" s="1"/>
  <c r="F158" i="24"/>
  <c r="G158" i="24" s="1"/>
  <c r="W157" i="24"/>
  <c r="X157" i="24" s="1"/>
  <c r="U157" i="24"/>
  <c r="V157" i="24" s="1"/>
  <c r="P157" i="24"/>
  <c r="Q157" i="24" s="1"/>
  <c r="K157" i="24"/>
  <c r="L157" i="24" s="1"/>
  <c r="F157" i="24"/>
  <c r="G157" i="24" s="1"/>
  <c r="W156" i="24"/>
  <c r="X156" i="24" s="1"/>
  <c r="U156" i="24"/>
  <c r="V156" i="24" s="1"/>
  <c r="P156" i="24"/>
  <c r="Q156" i="24" s="1"/>
  <c r="K156" i="24"/>
  <c r="L156" i="24" s="1"/>
  <c r="F156" i="24"/>
  <c r="G156" i="24" s="1"/>
  <c r="W155" i="24"/>
  <c r="X155" i="24" s="1"/>
  <c r="U155" i="24"/>
  <c r="V155" i="24" s="1"/>
  <c r="P155" i="24"/>
  <c r="Q155" i="24" s="1"/>
  <c r="K155" i="24"/>
  <c r="L155" i="24" s="1"/>
  <c r="F155" i="24"/>
  <c r="G155" i="24" s="1"/>
  <c r="T154" i="24"/>
  <c r="T159" i="24" s="1"/>
  <c r="S154" i="24"/>
  <c r="S159" i="24" s="1"/>
  <c r="R154" i="24"/>
  <c r="R159" i="24" s="1"/>
  <c r="O154" i="24"/>
  <c r="N154" i="24"/>
  <c r="N159" i="24" s="1"/>
  <c r="M154" i="24"/>
  <c r="M159" i="24" s="1"/>
  <c r="J154" i="24"/>
  <c r="J159" i="24" s="1"/>
  <c r="I154" i="24"/>
  <c r="I159" i="24" s="1"/>
  <c r="F154" i="24"/>
  <c r="G154" i="24" s="1"/>
  <c r="W153" i="24"/>
  <c r="X153" i="24" s="1"/>
  <c r="O19" i="26" s="1"/>
  <c r="U153" i="24"/>
  <c r="V153" i="24" s="1"/>
  <c r="P153" i="24"/>
  <c r="Q153" i="24" s="1"/>
  <c r="K153" i="24"/>
  <c r="L153" i="24"/>
  <c r="F153" i="24"/>
  <c r="G153" i="24" s="1"/>
  <c r="W150" i="24"/>
  <c r="X150" i="24" s="1"/>
  <c r="U150" i="24"/>
  <c r="V150" i="24" s="1"/>
  <c r="P150" i="24"/>
  <c r="Q150" i="24" s="1"/>
  <c r="K150" i="24"/>
  <c r="L150" i="24"/>
  <c r="F150" i="24"/>
  <c r="G150" i="24" s="1"/>
  <c r="W149" i="24"/>
  <c r="X149" i="24" s="1"/>
  <c r="U149" i="24"/>
  <c r="V149" i="24" s="1"/>
  <c r="P149" i="24"/>
  <c r="Q149" i="24" s="1"/>
  <c r="K149" i="24"/>
  <c r="L149" i="24" s="1"/>
  <c r="F149" i="24"/>
  <c r="G149" i="24" s="1"/>
  <c r="T148" i="24"/>
  <c r="S148" i="24"/>
  <c r="R148" i="24"/>
  <c r="O148" i="24"/>
  <c r="N148" i="24"/>
  <c r="M148" i="24"/>
  <c r="J148" i="24"/>
  <c r="I148" i="24"/>
  <c r="H148" i="24"/>
  <c r="E148" i="24"/>
  <c r="D148" i="24"/>
  <c r="C148" i="24"/>
  <c r="R147" i="24"/>
  <c r="W147" i="24" s="1"/>
  <c r="X147" i="24" s="1"/>
  <c r="P147" i="24"/>
  <c r="Q147" i="24" s="1"/>
  <c r="K147" i="24"/>
  <c r="L147" i="24" s="1"/>
  <c r="F147" i="24"/>
  <c r="G147" i="24" s="1"/>
  <c r="W146" i="24"/>
  <c r="X146" i="24" s="1"/>
  <c r="U146" i="24"/>
  <c r="V146" i="24" s="1"/>
  <c r="P146" i="24"/>
  <c r="Q146" i="24" s="1"/>
  <c r="K146" i="24"/>
  <c r="L146" i="24" s="1"/>
  <c r="F146" i="24"/>
  <c r="G146" i="24" s="1"/>
  <c r="T145" i="24"/>
  <c r="S145" i="24"/>
  <c r="R145" i="24"/>
  <c r="O145" i="24"/>
  <c r="N145" i="24"/>
  <c r="N151" i="24" s="1"/>
  <c r="M145" i="24"/>
  <c r="J145" i="24"/>
  <c r="I145" i="24"/>
  <c r="H145" i="24"/>
  <c r="H151" i="24" s="1"/>
  <c r="H160" i="24" s="1"/>
  <c r="E145" i="24"/>
  <c r="D145" i="24"/>
  <c r="C145" i="24"/>
  <c r="W144" i="24"/>
  <c r="X144" i="24" s="1"/>
  <c r="U144" i="24"/>
  <c r="V144" i="24" s="1"/>
  <c r="P144" i="24"/>
  <c r="Q144" i="24" s="1"/>
  <c r="K144" i="24"/>
  <c r="L144" i="24" s="1"/>
  <c r="F144" i="24"/>
  <c r="G144" i="24" s="1"/>
  <c r="W143" i="24"/>
  <c r="X143" i="24" s="1"/>
  <c r="U143" i="24"/>
  <c r="V143" i="24" s="1"/>
  <c r="P143" i="24"/>
  <c r="Q143" i="24" s="1"/>
  <c r="K143" i="24"/>
  <c r="L143" i="24" s="1"/>
  <c r="F143" i="24"/>
  <c r="G143" i="24" s="1"/>
  <c r="W142" i="24"/>
  <c r="X142" i="24" s="1"/>
  <c r="U142" i="24"/>
  <c r="V142" i="24" s="1"/>
  <c r="P142" i="24"/>
  <c r="Q142" i="24" s="1"/>
  <c r="K142" i="24"/>
  <c r="L142" i="24" s="1"/>
  <c r="F142" i="24"/>
  <c r="G142" i="24" s="1"/>
  <c r="W141" i="24"/>
  <c r="X141" i="24" s="1"/>
  <c r="U141" i="24"/>
  <c r="V141" i="24" s="1"/>
  <c r="P141" i="24"/>
  <c r="Q141" i="24" s="1"/>
  <c r="K141" i="24"/>
  <c r="L141" i="24" s="1"/>
  <c r="F141" i="24"/>
  <c r="G141" i="24" s="1"/>
  <c r="W140" i="24"/>
  <c r="X140" i="24" s="1"/>
  <c r="U140" i="24"/>
  <c r="V140" i="24" s="1"/>
  <c r="P140" i="24"/>
  <c r="Q140" i="24" s="1"/>
  <c r="K140" i="24"/>
  <c r="L140" i="24" s="1"/>
  <c r="F140" i="24"/>
  <c r="G140" i="24" s="1"/>
  <c r="W139" i="24"/>
  <c r="X139" i="24" s="1"/>
  <c r="U139" i="24"/>
  <c r="V139" i="24" s="1"/>
  <c r="P139" i="24"/>
  <c r="Q139" i="24" s="1"/>
  <c r="K139" i="24"/>
  <c r="L139" i="24" s="1"/>
  <c r="F139" i="24"/>
  <c r="G139" i="24" s="1"/>
  <c r="W138" i="24"/>
  <c r="X138" i="24" s="1"/>
  <c r="U138" i="24"/>
  <c r="V138" i="24" s="1"/>
  <c r="P138" i="24"/>
  <c r="Q138" i="24" s="1"/>
  <c r="K138" i="24"/>
  <c r="L138" i="24" s="1"/>
  <c r="F138" i="24"/>
  <c r="G138" i="24" s="1"/>
  <c r="W137" i="24"/>
  <c r="X137" i="24"/>
  <c r="U137" i="24"/>
  <c r="V137" i="24" s="1"/>
  <c r="P137" i="24"/>
  <c r="Q137" i="24" s="1"/>
  <c r="K137" i="24"/>
  <c r="L137" i="24" s="1"/>
  <c r="F137" i="24"/>
  <c r="G137" i="24"/>
  <c r="AJ18" i="23"/>
  <c r="E115" i="21"/>
  <c r="F124" i="21" s="1"/>
  <c r="H124" i="21" s="1"/>
  <c r="E25" i="21"/>
  <c r="E5" i="21"/>
  <c r="G37" i="1"/>
  <c r="H37" i="1" s="1"/>
  <c r="G54" i="1"/>
  <c r="H54" i="1" s="1"/>
  <c r="G71" i="1"/>
  <c r="G88" i="1"/>
  <c r="G105" i="1"/>
  <c r="H105" i="1" s="1"/>
  <c r="G122" i="1"/>
  <c r="G139" i="1"/>
  <c r="G156" i="1"/>
  <c r="H156" i="1" s="1"/>
  <c r="G173" i="1"/>
  <c r="G190" i="1"/>
  <c r="G207" i="1"/>
  <c r="E8" i="2"/>
  <c r="C30" i="16" s="1"/>
  <c r="AY6" i="23" s="1"/>
  <c r="E9" i="2"/>
  <c r="T190" i="24"/>
  <c r="S190" i="24"/>
  <c r="R190" i="24"/>
  <c r="U190" i="24" s="1"/>
  <c r="V190" i="24" s="1"/>
  <c r="O190" i="24"/>
  <c r="M190" i="24"/>
  <c r="J190" i="24"/>
  <c r="I190" i="24"/>
  <c r="W189" i="24"/>
  <c r="X189" i="24" s="1"/>
  <c r="U189" i="24"/>
  <c r="V189" i="24" s="1"/>
  <c r="P189" i="24"/>
  <c r="Q189" i="24" s="1"/>
  <c r="K189" i="24"/>
  <c r="L189" i="24" s="1"/>
  <c r="F189" i="24"/>
  <c r="G189" i="24" s="1"/>
  <c r="W188" i="24"/>
  <c r="X188" i="24" s="1"/>
  <c r="U188" i="24"/>
  <c r="V188" i="24" s="1"/>
  <c r="P188" i="24"/>
  <c r="Q188" i="24" s="1"/>
  <c r="K188" i="24"/>
  <c r="L188" i="24" s="1"/>
  <c r="F188" i="24"/>
  <c r="G188" i="24" s="1"/>
  <c r="W187" i="24"/>
  <c r="X187" i="24" s="1"/>
  <c r="U187" i="24"/>
  <c r="V187" i="24" s="1"/>
  <c r="P187" i="24"/>
  <c r="Q187" i="24"/>
  <c r="K187" i="24"/>
  <c r="L187" i="24" s="1"/>
  <c r="F187" i="24"/>
  <c r="G187" i="24" s="1"/>
  <c r="W186" i="24"/>
  <c r="X186" i="24" s="1"/>
  <c r="U186" i="24"/>
  <c r="V186" i="24" s="1"/>
  <c r="P186" i="24"/>
  <c r="Q186" i="24" s="1"/>
  <c r="K186" i="24"/>
  <c r="L186" i="24" s="1"/>
  <c r="F186" i="24"/>
  <c r="G186" i="24" s="1"/>
  <c r="U185" i="24"/>
  <c r="V185" i="24" s="1"/>
  <c r="N185" i="24"/>
  <c r="N190" i="24" s="1"/>
  <c r="P190" i="24" s="1"/>
  <c r="Q190" i="24" s="1"/>
  <c r="H185" i="24"/>
  <c r="H190" i="24" s="1"/>
  <c r="K190" i="24" s="1"/>
  <c r="L190" i="24" s="1"/>
  <c r="E185" i="24"/>
  <c r="E190" i="24" s="1"/>
  <c r="D185" i="24"/>
  <c r="C185" i="24"/>
  <c r="W184" i="24"/>
  <c r="X184" i="24" s="1"/>
  <c r="O23" i="26" s="1"/>
  <c r="U184" i="24"/>
  <c r="V184" i="24" s="1"/>
  <c r="P184" i="24"/>
  <c r="Q184" i="24" s="1"/>
  <c r="K184" i="24"/>
  <c r="L184" i="24" s="1"/>
  <c r="F184" i="24"/>
  <c r="G184" i="24" s="1"/>
  <c r="W181" i="24"/>
  <c r="X181" i="24" s="1"/>
  <c r="U181" i="24"/>
  <c r="V181" i="24" s="1"/>
  <c r="P181" i="24"/>
  <c r="Q181" i="24" s="1"/>
  <c r="K181" i="24"/>
  <c r="L181" i="24" s="1"/>
  <c r="F181" i="24"/>
  <c r="G181" i="24" s="1"/>
  <c r="W180" i="24"/>
  <c r="X180" i="24" s="1"/>
  <c r="U180" i="24"/>
  <c r="V180" i="24" s="1"/>
  <c r="P180" i="24"/>
  <c r="Q180" i="24" s="1"/>
  <c r="K180" i="24"/>
  <c r="L180" i="24" s="1"/>
  <c r="F180" i="24"/>
  <c r="G180" i="24" s="1"/>
  <c r="T179" i="24"/>
  <c r="S179" i="24"/>
  <c r="R179" i="24"/>
  <c r="O179" i="24"/>
  <c r="P179" i="24" s="1"/>
  <c r="Q179" i="24" s="1"/>
  <c r="N179" i="24"/>
  <c r="M179" i="24"/>
  <c r="J179" i="24"/>
  <c r="I179" i="24"/>
  <c r="H179" i="24"/>
  <c r="K179" i="24" s="1"/>
  <c r="L179" i="24" s="1"/>
  <c r="E179" i="24"/>
  <c r="E182" i="24" s="1"/>
  <c r="D179" i="24"/>
  <c r="W179" i="24" s="1"/>
  <c r="X179" i="24" s="1"/>
  <c r="C179" i="24"/>
  <c r="W178" i="24"/>
  <c r="X178" i="24" s="1"/>
  <c r="U178" i="24"/>
  <c r="V178" i="24" s="1"/>
  <c r="P178" i="24"/>
  <c r="Q178" i="24" s="1"/>
  <c r="K178" i="24"/>
  <c r="L178" i="24" s="1"/>
  <c r="F178" i="24"/>
  <c r="G178" i="24" s="1"/>
  <c r="W177" i="24"/>
  <c r="X177" i="24" s="1"/>
  <c r="U177" i="24"/>
  <c r="V177" i="24" s="1"/>
  <c r="P177" i="24"/>
  <c r="Q177" i="24" s="1"/>
  <c r="K177" i="24"/>
  <c r="L177" i="24" s="1"/>
  <c r="F177" i="24"/>
  <c r="G177" i="24" s="1"/>
  <c r="T176" i="24"/>
  <c r="S176" i="24"/>
  <c r="R176" i="24"/>
  <c r="U176" i="24" s="1"/>
  <c r="V176" i="24" s="1"/>
  <c r="O176" i="24"/>
  <c r="N176" i="24"/>
  <c r="M176" i="24"/>
  <c r="J176" i="24"/>
  <c r="I176" i="24"/>
  <c r="H176" i="24"/>
  <c r="E176" i="24"/>
  <c r="F176" i="24" s="1"/>
  <c r="G176" i="24" s="1"/>
  <c r="D176" i="24"/>
  <c r="C176" i="24"/>
  <c r="W175" i="24"/>
  <c r="X175" i="24" s="1"/>
  <c r="U175" i="24"/>
  <c r="V175" i="24" s="1"/>
  <c r="P175" i="24"/>
  <c r="Q175" i="24" s="1"/>
  <c r="K175" i="24"/>
  <c r="L175" i="24" s="1"/>
  <c r="F175" i="24"/>
  <c r="G175" i="24" s="1"/>
  <c r="W174" i="24"/>
  <c r="X174" i="24" s="1"/>
  <c r="U174" i="24"/>
  <c r="V174" i="24" s="1"/>
  <c r="P174" i="24"/>
  <c r="Q174" i="24" s="1"/>
  <c r="K174" i="24"/>
  <c r="L174" i="24" s="1"/>
  <c r="F174" i="24"/>
  <c r="G174" i="24" s="1"/>
  <c r="W173" i="24"/>
  <c r="X173" i="24" s="1"/>
  <c r="U173" i="24"/>
  <c r="V173" i="24" s="1"/>
  <c r="P173" i="24"/>
  <c r="Q173" i="24" s="1"/>
  <c r="K173" i="24"/>
  <c r="L173" i="24" s="1"/>
  <c r="F173" i="24"/>
  <c r="G173" i="24" s="1"/>
  <c r="W172" i="24"/>
  <c r="X172" i="24" s="1"/>
  <c r="U172" i="24"/>
  <c r="V172" i="24" s="1"/>
  <c r="P172" i="24"/>
  <c r="Q172" i="24" s="1"/>
  <c r="K172" i="24"/>
  <c r="L172" i="24" s="1"/>
  <c r="F172" i="24"/>
  <c r="G172" i="24" s="1"/>
  <c r="W171" i="24"/>
  <c r="X171" i="24" s="1"/>
  <c r="U171" i="24"/>
  <c r="V171" i="24" s="1"/>
  <c r="P171" i="24"/>
  <c r="Q171" i="24" s="1"/>
  <c r="K171" i="24"/>
  <c r="L171" i="24" s="1"/>
  <c r="F171" i="24"/>
  <c r="G171" i="24" s="1"/>
  <c r="W170" i="24"/>
  <c r="X170" i="24" s="1"/>
  <c r="U170" i="24"/>
  <c r="V170" i="24" s="1"/>
  <c r="P170" i="24"/>
  <c r="Q170" i="24" s="1"/>
  <c r="K170" i="24"/>
  <c r="L170" i="24" s="1"/>
  <c r="F170" i="24"/>
  <c r="G170" i="24" s="1"/>
  <c r="W169" i="24"/>
  <c r="X169" i="24" s="1"/>
  <c r="U169" i="24"/>
  <c r="V169" i="24" s="1"/>
  <c r="P169" i="24"/>
  <c r="Q169" i="24"/>
  <c r="K169" i="24"/>
  <c r="L169" i="24" s="1"/>
  <c r="F169" i="24"/>
  <c r="G169" i="24" s="1"/>
  <c r="W168" i="24"/>
  <c r="X168" i="24" s="1"/>
  <c r="U168" i="24"/>
  <c r="V168" i="24" s="1"/>
  <c r="P168" i="24"/>
  <c r="Q168" i="24" s="1"/>
  <c r="K168" i="24"/>
  <c r="L168" i="24" s="1"/>
  <c r="F168" i="24"/>
  <c r="G168" i="24" s="1"/>
  <c r="E5" i="2"/>
  <c r="E6" i="2"/>
  <c r="C31" i="16" s="1"/>
  <c r="AY7" i="23" s="1"/>
  <c r="E7" i="2"/>
  <c r="C29" i="16" s="1"/>
  <c r="E10" i="2"/>
  <c r="C33" i="16" s="1"/>
  <c r="E11" i="2"/>
  <c r="C34" i="16" s="1"/>
  <c r="E12" i="2"/>
  <c r="C35" i="16" s="1"/>
  <c r="E13" i="2"/>
  <c r="C37" i="16" s="1"/>
  <c r="AY14" i="23" s="1"/>
  <c r="E14" i="2"/>
  <c r="C38" i="16" s="1"/>
  <c r="E15" i="2"/>
  <c r="C39" i="16" s="1"/>
  <c r="E16" i="2"/>
  <c r="C36" i="16" s="1"/>
  <c r="C217" i="24"/>
  <c r="C222" i="24" s="1"/>
  <c r="D217" i="24"/>
  <c r="D222" i="24" s="1"/>
  <c r="E217" i="24"/>
  <c r="H217" i="24"/>
  <c r="I217" i="24"/>
  <c r="J217" i="24"/>
  <c r="M217" i="24"/>
  <c r="P217" i="24" s="1"/>
  <c r="Q217" i="24" s="1"/>
  <c r="N217" i="24"/>
  <c r="N222" i="24" s="1"/>
  <c r="O217" i="24"/>
  <c r="O222" i="24" s="1"/>
  <c r="R217" i="24"/>
  <c r="S217" i="24"/>
  <c r="T217" i="24"/>
  <c r="F132" i="21"/>
  <c r="F15" i="8"/>
  <c r="F18" i="8"/>
  <c r="F28" i="8"/>
  <c r="C17" i="2"/>
  <c r="D17" i="2"/>
  <c r="E57" i="21"/>
  <c r="F62" i="21" s="1"/>
  <c r="E39" i="21"/>
  <c r="F45" i="21" s="1"/>
  <c r="H45" i="21" s="1"/>
  <c r="E24" i="21"/>
  <c r="E11" i="21"/>
  <c r="E12" i="21"/>
  <c r="E16" i="21"/>
  <c r="E93" i="21"/>
  <c r="F94" i="21" s="1"/>
  <c r="E98" i="21"/>
  <c r="F100" i="21" s="1"/>
  <c r="H100" i="21" s="1"/>
  <c r="C16" i="6"/>
  <c r="H44" i="4"/>
  <c r="H222" i="24"/>
  <c r="E222" i="24"/>
  <c r="W221" i="24"/>
  <c r="X221" i="24" s="1"/>
  <c r="U221" i="24"/>
  <c r="V221" i="24"/>
  <c r="P221" i="24"/>
  <c r="Q221" i="24" s="1"/>
  <c r="K221" i="24"/>
  <c r="L221" i="24" s="1"/>
  <c r="F221" i="24"/>
  <c r="G221" i="24" s="1"/>
  <c r="W220" i="24"/>
  <c r="X220" i="24" s="1"/>
  <c r="U220" i="24"/>
  <c r="V220" i="24" s="1"/>
  <c r="P220" i="24"/>
  <c r="Q220" i="24" s="1"/>
  <c r="K220" i="24"/>
  <c r="L220" i="24" s="1"/>
  <c r="F220" i="24"/>
  <c r="G220" i="24" s="1"/>
  <c r="W219" i="24"/>
  <c r="X219" i="24" s="1"/>
  <c r="U219" i="24"/>
  <c r="V219" i="24" s="1"/>
  <c r="P219" i="24"/>
  <c r="Q219" i="24" s="1"/>
  <c r="K219" i="24"/>
  <c r="L219" i="24" s="1"/>
  <c r="F219" i="24"/>
  <c r="G219" i="24" s="1"/>
  <c r="W218" i="24"/>
  <c r="X218" i="24" s="1"/>
  <c r="U218" i="24"/>
  <c r="V218" i="24" s="1"/>
  <c r="P218" i="24"/>
  <c r="Q218" i="24" s="1"/>
  <c r="K218" i="24"/>
  <c r="L218" i="24" s="1"/>
  <c r="F218" i="24"/>
  <c r="G218" i="24" s="1"/>
  <c r="R222" i="24"/>
  <c r="W216" i="24"/>
  <c r="X216" i="24" s="1"/>
  <c r="O27" i="26" s="1"/>
  <c r="U216" i="24"/>
  <c r="V216" i="24" s="1"/>
  <c r="P216" i="24"/>
  <c r="Q216" i="24" s="1"/>
  <c r="K216" i="24"/>
  <c r="L216" i="24" s="1"/>
  <c r="F216" i="24"/>
  <c r="G216" i="24" s="1"/>
  <c r="W213" i="24"/>
  <c r="X213" i="24" s="1"/>
  <c r="U213" i="24"/>
  <c r="V213" i="24" s="1"/>
  <c r="P213" i="24"/>
  <c r="Q213" i="24" s="1"/>
  <c r="K213" i="24"/>
  <c r="L213" i="24" s="1"/>
  <c r="F213" i="24"/>
  <c r="G213" i="24" s="1"/>
  <c r="W212" i="24"/>
  <c r="X212" i="24" s="1"/>
  <c r="AK16" i="23" s="1"/>
  <c r="U212" i="24"/>
  <c r="V212" i="24" s="1"/>
  <c r="P212" i="24"/>
  <c r="Q212" i="24" s="1"/>
  <c r="K212" i="24"/>
  <c r="L212" i="24" s="1"/>
  <c r="F212" i="24"/>
  <c r="G212" i="24"/>
  <c r="T211" i="24"/>
  <c r="S211" i="24"/>
  <c r="R211" i="24"/>
  <c r="O211" i="24"/>
  <c r="N211" i="24"/>
  <c r="M211" i="24"/>
  <c r="P211" i="24" s="1"/>
  <c r="Q211" i="24" s="1"/>
  <c r="J211" i="24"/>
  <c r="K211" i="24" s="1"/>
  <c r="L211" i="24" s="1"/>
  <c r="I211" i="24"/>
  <c r="H211" i="24"/>
  <c r="E211" i="24"/>
  <c r="D211" i="24"/>
  <c r="C211" i="24"/>
  <c r="W210" i="24"/>
  <c r="X210" i="24" s="1"/>
  <c r="AK14" i="23" s="1"/>
  <c r="AL14" i="23" s="1"/>
  <c r="U210" i="24"/>
  <c r="V210" i="24" s="1"/>
  <c r="P210" i="24"/>
  <c r="Q210" i="24" s="1"/>
  <c r="K210" i="24"/>
  <c r="L210" i="24" s="1"/>
  <c r="F210" i="24"/>
  <c r="G210" i="24" s="1"/>
  <c r="W209" i="24"/>
  <c r="X209" i="24" s="1"/>
  <c r="AK12" i="23" s="1"/>
  <c r="AL12" i="23" s="1"/>
  <c r="U209" i="24"/>
  <c r="V209" i="24" s="1"/>
  <c r="P209" i="24"/>
  <c r="Q209" i="24" s="1"/>
  <c r="K209" i="24"/>
  <c r="L209" i="24" s="1"/>
  <c r="F209" i="24"/>
  <c r="G209" i="24" s="1"/>
  <c r="T208" i="24"/>
  <c r="S208" i="24"/>
  <c r="R208" i="24"/>
  <c r="O208" i="24"/>
  <c r="N208" i="24"/>
  <c r="M208" i="24"/>
  <c r="J208" i="24"/>
  <c r="I208" i="24"/>
  <c r="H208" i="24"/>
  <c r="E208" i="24"/>
  <c r="E214" i="24" s="1"/>
  <c r="D208" i="24"/>
  <c r="D214" i="24" s="1"/>
  <c r="C208" i="24"/>
  <c r="W208" i="24" s="1"/>
  <c r="X208" i="24" s="1"/>
  <c r="AK11" i="23" s="1"/>
  <c r="AL11" i="23" s="1"/>
  <c r="W207" i="24"/>
  <c r="X207" i="24" s="1"/>
  <c r="AK10" i="23" s="1"/>
  <c r="AL10" i="23" s="1"/>
  <c r="U207" i="24"/>
  <c r="V207" i="24" s="1"/>
  <c r="P207" i="24"/>
  <c r="Q207" i="24" s="1"/>
  <c r="K207" i="24"/>
  <c r="L207" i="24" s="1"/>
  <c r="F207" i="24"/>
  <c r="G207" i="24" s="1"/>
  <c r="W206" i="24"/>
  <c r="X206" i="24" s="1"/>
  <c r="AK9" i="23" s="1"/>
  <c r="AL9" i="23" s="1"/>
  <c r="U206" i="24"/>
  <c r="V206" i="24" s="1"/>
  <c r="P206" i="24"/>
  <c r="Q206" i="24" s="1"/>
  <c r="K206" i="24"/>
  <c r="L206" i="24" s="1"/>
  <c r="F206" i="24"/>
  <c r="G206" i="24" s="1"/>
  <c r="W205" i="24"/>
  <c r="X205" i="24" s="1"/>
  <c r="AK8" i="23" s="1"/>
  <c r="AL8" i="23" s="1"/>
  <c r="U205" i="24"/>
  <c r="V205" i="24" s="1"/>
  <c r="P205" i="24"/>
  <c r="Q205" i="24" s="1"/>
  <c r="K205" i="24"/>
  <c r="L205" i="24" s="1"/>
  <c r="F205" i="24"/>
  <c r="G205" i="24" s="1"/>
  <c r="W204" i="24"/>
  <c r="X204" i="24" s="1"/>
  <c r="AK7" i="23" s="1"/>
  <c r="U204" i="24"/>
  <c r="V204" i="24" s="1"/>
  <c r="P204" i="24"/>
  <c r="Q204" i="24" s="1"/>
  <c r="K204" i="24"/>
  <c r="L204" i="24" s="1"/>
  <c r="F204" i="24"/>
  <c r="G204" i="24" s="1"/>
  <c r="W203" i="24"/>
  <c r="X203" i="24" s="1"/>
  <c r="AK5" i="23" s="1"/>
  <c r="AL5" i="23" s="1"/>
  <c r="U203" i="24"/>
  <c r="V203" i="24" s="1"/>
  <c r="P203" i="24"/>
  <c r="Q203" i="24" s="1"/>
  <c r="K203" i="24"/>
  <c r="L203" i="24" s="1"/>
  <c r="F203" i="24"/>
  <c r="G203" i="24" s="1"/>
  <c r="W202" i="24"/>
  <c r="X202" i="24" s="1"/>
  <c r="U202" i="24"/>
  <c r="V202" i="24" s="1"/>
  <c r="P202" i="24"/>
  <c r="Q202" i="24" s="1"/>
  <c r="K202" i="24"/>
  <c r="L202" i="24" s="1"/>
  <c r="F202" i="24"/>
  <c r="G202" i="24" s="1"/>
  <c r="W201" i="24"/>
  <c r="X201" i="24" s="1"/>
  <c r="AK3" i="23" s="1"/>
  <c r="U201" i="24"/>
  <c r="V201" i="24" s="1"/>
  <c r="P201" i="24"/>
  <c r="Q201" i="24" s="1"/>
  <c r="K201" i="24"/>
  <c r="L201" i="24" s="1"/>
  <c r="F201" i="24"/>
  <c r="G201" i="24" s="1"/>
  <c r="W200" i="24"/>
  <c r="X200" i="24" s="1"/>
  <c r="U200" i="24"/>
  <c r="V200" i="24" s="1"/>
  <c r="P200" i="24"/>
  <c r="Q200" i="24" s="1"/>
  <c r="K200" i="24"/>
  <c r="L200" i="24" s="1"/>
  <c r="F200" i="24"/>
  <c r="G200" i="24" s="1"/>
  <c r="E286" i="4"/>
  <c r="E79" i="4"/>
  <c r="B17" i="2"/>
  <c r="H9" i="19" s="1"/>
  <c r="T251" i="24"/>
  <c r="S251" i="24"/>
  <c r="R251" i="24"/>
  <c r="O251" i="24"/>
  <c r="N251" i="24"/>
  <c r="M251" i="24"/>
  <c r="J251" i="24"/>
  <c r="I251" i="24"/>
  <c r="H251" i="24"/>
  <c r="E251" i="24"/>
  <c r="D251" i="24"/>
  <c r="C251" i="24"/>
  <c r="F251" i="24" s="1"/>
  <c r="G251" i="24" s="1"/>
  <c r="W250" i="24"/>
  <c r="X250" i="24"/>
  <c r="U250" i="24"/>
  <c r="V250" i="24" s="1"/>
  <c r="P250" i="24"/>
  <c r="Q250" i="24" s="1"/>
  <c r="K250" i="24"/>
  <c r="L250" i="24" s="1"/>
  <c r="F250" i="24"/>
  <c r="G250" i="24" s="1"/>
  <c r="W249" i="24"/>
  <c r="X249" i="24" s="1"/>
  <c r="U249" i="24"/>
  <c r="V249" i="24" s="1"/>
  <c r="P249" i="24"/>
  <c r="Q249" i="24" s="1"/>
  <c r="K249" i="24"/>
  <c r="L249" i="24" s="1"/>
  <c r="F249" i="24"/>
  <c r="G249" i="24" s="1"/>
  <c r="W248" i="24"/>
  <c r="X248" i="24" s="1"/>
  <c r="U248" i="24"/>
  <c r="V248" i="24" s="1"/>
  <c r="P248" i="24"/>
  <c r="Q248" i="24" s="1"/>
  <c r="K248" i="24"/>
  <c r="L248" i="24" s="1"/>
  <c r="F248" i="24"/>
  <c r="G248" i="24" s="1"/>
  <c r="W247" i="24"/>
  <c r="X247" i="24" s="1"/>
  <c r="U247" i="24"/>
  <c r="V247" i="24" s="1"/>
  <c r="P247" i="24"/>
  <c r="Q247" i="24" s="1"/>
  <c r="K247" i="24"/>
  <c r="L247" i="24" s="1"/>
  <c r="F247" i="24"/>
  <c r="G247" i="24" s="1"/>
  <c r="W246" i="24"/>
  <c r="X246" i="24" s="1"/>
  <c r="U246" i="24"/>
  <c r="V246" i="24" s="1"/>
  <c r="P246" i="24"/>
  <c r="Q246" i="24" s="1"/>
  <c r="K246" i="24"/>
  <c r="L246" i="24" s="1"/>
  <c r="F246" i="24"/>
  <c r="G246" i="24" s="1"/>
  <c r="W245" i="24"/>
  <c r="X245" i="24" s="1"/>
  <c r="U245" i="24"/>
  <c r="V245" i="24" s="1"/>
  <c r="P245" i="24"/>
  <c r="Q245" i="24" s="1"/>
  <c r="K245" i="24"/>
  <c r="L245" i="24" s="1"/>
  <c r="F245" i="24"/>
  <c r="G245" i="24" s="1"/>
  <c r="W242" i="24"/>
  <c r="X242" i="24" s="1"/>
  <c r="U242" i="24"/>
  <c r="V242" i="24" s="1"/>
  <c r="P242" i="24"/>
  <c r="Q242" i="24" s="1"/>
  <c r="K242" i="24"/>
  <c r="L242" i="24"/>
  <c r="F242" i="24"/>
  <c r="G242" i="24" s="1"/>
  <c r="W241" i="24"/>
  <c r="X241" i="24" s="1"/>
  <c r="AH16" i="23" s="1"/>
  <c r="AI16" i="23" s="1"/>
  <c r="U241" i="24"/>
  <c r="V241" i="24" s="1"/>
  <c r="P241" i="24"/>
  <c r="Q241" i="24" s="1"/>
  <c r="K241" i="24"/>
  <c r="L241" i="24" s="1"/>
  <c r="F241" i="24"/>
  <c r="G241" i="24" s="1"/>
  <c r="T240" i="24"/>
  <c r="S240" i="24"/>
  <c r="R240" i="24"/>
  <c r="O240" i="24"/>
  <c r="N240" i="24"/>
  <c r="P240" i="24" s="1"/>
  <c r="Q240" i="24" s="1"/>
  <c r="M240" i="24"/>
  <c r="J240" i="24"/>
  <c r="I240" i="24"/>
  <c r="H240" i="24"/>
  <c r="E240" i="24"/>
  <c r="D240" i="24"/>
  <c r="C240" i="24"/>
  <c r="F240" i="24" s="1"/>
  <c r="G240" i="24" s="1"/>
  <c r="W239" i="24"/>
  <c r="X239" i="24" s="1"/>
  <c r="AH14" i="23" s="1"/>
  <c r="AI14" i="23" s="1"/>
  <c r="U239" i="24"/>
  <c r="V239" i="24"/>
  <c r="P239" i="24"/>
  <c r="Q239" i="24" s="1"/>
  <c r="K239" i="24"/>
  <c r="L239" i="24" s="1"/>
  <c r="F239" i="24"/>
  <c r="G239" i="24" s="1"/>
  <c r="W238" i="24"/>
  <c r="X238" i="24" s="1"/>
  <c r="AH12" i="23" s="1"/>
  <c r="AI12" i="23" s="1"/>
  <c r="U238" i="24"/>
  <c r="V238" i="24" s="1"/>
  <c r="P238" i="24"/>
  <c r="Q238" i="24" s="1"/>
  <c r="K238" i="24"/>
  <c r="L238" i="24" s="1"/>
  <c r="F238" i="24"/>
  <c r="G238" i="24" s="1"/>
  <c r="T237" i="24"/>
  <c r="S237" i="24"/>
  <c r="S243" i="24" s="1"/>
  <c r="R237" i="24"/>
  <c r="O237" i="24"/>
  <c r="N237" i="24"/>
  <c r="M237" i="24"/>
  <c r="J237" i="24"/>
  <c r="I237" i="24"/>
  <c r="H237" i="24"/>
  <c r="W237" i="24" s="1"/>
  <c r="X237" i="24" s="1"/>
  <c r="E237" i="24"/>
  <c r="E243" i="24" s="1"/>
  <c r="D237" i="24"/>
  <c r="C237" i="24"/>
  <c r="W236" i="24"/>
  <c r="X236" i="24"/>
  <c r="AH10" i="23" s="1"/>
  <c r="AI10" i="23" s="1"/>
  <c r="U236" i="24"/>
  <c r="V236" i="24" s="1"/>
  <c r="P236" i="24"/>
  <c r="Q236" i="24" s="1"/>
  <c r="K236" i="24"/>
  <c r="L236" i="24" s="1"/>
  <c r="F236" i="24"/>
  <c r="G236" i="24" s="1"/>
  <c r="W235" i="24"/>
  <c r="X235" i="24" s="1"/>
  <c r="AH9" i="23" s="1"/>
  <c r="U235" i="24"/>
  <c r="V235" i="24"/>
  <c r="P235" i="24"/>
  <c r="Q235" i="24" s="1"/>
  <c r="K235" i="24"/>
  <c r="L235" i="24" s="1"/>
  <c r="F235" i="24"/>
  <c r="G235" i="24" s="1"/>
  <c r="W234" i="24"/>
  <c r="X234" i="24" s="1"/>
  <c r="AH8" i="23" s="1"/>
  <c r="AI8" i="23" s="1"/>
  <c r="U234" i="24"/>
  <c r="V234" i="24" s="1"/>
  <c r="P234" i="24"/>
  <c r="Q234" i="24"/>
  <c r="K234" i="24"/>
  <c r="L234" i="24" s="1"/>
  <c r="F234" i="24"/>
  <c r="G234" i="24"/>
  <c r="W233" i="24"/>
  <c r="X233" i="24" s="1"/>
  <c r="AH7" i="23" s="1"/>
  <c r="AI7" i="23" s="1"/>
  <c r="U233" i="24"/>
  <c r="V233" i="24"/>
  <c r="P233" i="24"/>
  <c r="Q233" i="24" s="1"/>
  <c r="K233" i="24"/>
  <c r="L233" i="24" s="1"/>
  <c r="F233" i="24"/>
  <c r="G233" i="24" s="1"/>
  <c r="W232" i="24"/>
  <c r="X232" i="24"/>
  <c r="AH5" i="23" s="1"/>
  <c r="U232" i="24"/>
  <c r="V232" i="24" s="1"/>
  <c r="P232" i="24"/>
  <c r="Q232" i="24" s="1"/>
  <c r="K232" i="24"/>
  <c r="L232" i="24" s="1"/>
  <c r="F232" i="24"/>
  <c r="G232" i="24" s="1"/>
  <c r="W231" i="24"/>
  <c r="X231" i="24"/>
  <c r="U231" i="24"/>
  <c r="V231" i="24" s="1"/>
  <c r="P231" i="24"/>
  <c r="Q231" i="24"/>
  <c r="K231" i="24"/>
  <c r="L231" i="24" s="1"/>
  <c r="F231" i="24"/>
  <c r="G231" i="24" s="1"/>
  <c r="W230" i="24"/>
  <c r="X230" i="24" s="1"/>
  <c r="AH3" i="23" s="1"/>
  <c r="AI3" i="23" s="1"/>
  <c r="U230" i="24"/>
  <c r="V230" i="24"/>
  <c r="P230" i="24"/>
  <c r="Q230" i="24" s="1"/>
  <c r="K230" i="24"/>
  <c r="L230" i="24" s="1"/>
  <c r="F230" i="24"/>
  <c r="G230" i="24" s="1"/>
  <c r="W229" i="24"/>
  <c r="X229" i="24" s="1"/>
  <c r="U229" i="24"/>
  <c r="V229" i="24" s="1"/>
  <c r="P229" i="24"/>
  <c r="Q229" i="24" s="1"/>
  <c r="K229" i="24"/>
  <c r="L229" i="24" s="1"/>
  <c r="F229" i="24"/>
  <c r="G229" i="24" s="1"/>
  <c r="C15" i="6"/>
  <c r="C7" i="6"/>
  <c r="D25" i="6"/>
  <c r="D26" i="6"/>
  <c r="D27" i="6"/>
  <c r="D28" i="6"/>
  <c r="D29" i="6"/>
  <c r="D30" i="6"/>
  <c r="D31" i="6"/>
  <c r="D32" i="6"/>
  <c r="D33" i="6"/>
  <c r="D34" i="6"/>
  <c r="D35" i="6"/>
  <c r="D36" i="6"/>
  <c r="E295" i="4"/>
  <c r="W259" i="24"/>
  <c r="X259" i="24" s="1"/>
  <c r="W260" i="24"/>
  <c r="X260" i="24" s="1"/>
  <c r="W261" i="24"/>
  <c r="X261" i="24" s="1"/>
  <c r="AE2" i="23" s="1"/>
  <c r="AF2" i="23" s="1"/>
  <c r="W262" i="24"/>
  <c r="X262" i="24" s="1"/>
  <c r="AE5" i="23" s="1"/>
  <c r="AF5" i="23" s="1"/>
  <c r="W263" i="24"/>
  <c r="X263" i="24" s="1"/>
  <c r="AE7" i="23" s="1"/>
  <c r="AF7" i="23" s="1"/>
  <c r="W264" i="24"/>
  <c r="X264" i="24" s="1"/>
  <c r="AE8" i="23" s="1"/>
  <c r="AF8" i="23" s="1"/>
  <c r="W265" i="24"/>
  <c r="X265" i="24"/>
  <c r="AE9" i="23" s="1"/>
  <c r="AF9" i="23" s="1"/>
  <c r="W266" i="24"/>
  <c r="X266" i="24" s="1"/>
  <c r="AE10" i="23" s="1"/>
  <c r="AF10" i="23" s="1"/>
  <c r="H267" i="24"/>
  <c r="I267" i="24"/>
  <c r="J267" i="24"/>
  <c r="M267" i="24"/>
  <c r="N267" i="24"/>
  <c r="O267" i="24"/>
  <c r="P267" i="24" s="1"/>
  <c r="Q267" i="24" s="1"/>
  <c r="R267" i="24"/>
  <c r="S267" i="24"/>
  <c r="U267" i="24" s="1"/>
  <c r="V267" i="24" s="1"/>
  <c r="T267" i="24"/>
  <c r="T273" i="24" s="1"/>
  <c r="T282" i="24" s="1"/>
  <c r="W268" i="24"/>
  <c r="X268" i="24" s="1"/>
  <c r="AE12" i="23" s="1"/>
  <c r="AF12" i="23" s="1"/>
  <c r="W269" i="24"/>
  <c r="X269" i="24" s="1"/>
  <c r="AE14" i="23" s="1"/>
  <c r="AF14" i="23" s="1"/>
  <c r="H270" i="24"/>
  <c r="I270" i="24"/>
  <c r="J270" i="24"/>
  <c r="M270" i="24"/>
  <c r="N270" i="24"/>
  <c r="N273" i="24" s="1"/>
  <c r="O270" i="24"/>
  <c r="R270" i="24"/>
  <c r="S270" i="24"/>
  <c r="T270" i="24"/>
  <c r="W271" i="24"/>
  <c r="X271" i="24" s="1"/>
  <c r="AE16" i="23" s="1"/>
  <c r="AF16" i="23" s="1"/>
  <c r="W272" i="24"/>
  <c r="X272" i="24"/>
  <c r="W275" i="24"/>
  <c r="X275" i="24" s="1"/>
  <c r="W276" i="24"/>
  <c r="X276" i="24" s="1"/>
  <c r="W277" i="24"/>
  <c r="X277" i="24"/>
  <c r="W278" i="24"/>
  <c r="X278" i="24" s="1"/>
  <c r="W279" i="24"/>
  <c r="X279" i="24" s="1"/>
  <c r="W280" i="24"/>
  <c r="X280" i="24" s="1"/>
  <c r="C273" i="24"/>
  <c r="D273" i="24"/>
  <c r="E273" i="24"/>
  <c r="R281" i="24"/>
  <c r="S281" i="24"/>
  <c r="U281" i="24" s="1"/>
  <c r="V281" i="24" s="1"/>
  <c r="T281" i="24"/>
  <c r="M281" i="24"/>
  <c r="P281" i="24" s="1"/>
  <c r="Q281" i="24" s="1"/>
  <c r="N281" i="24"/>
  <c r="O281" i="24"/>
  <c r="H281" i="24"/>
  <c r="I281" i="24"/>
  <c r="J281" i="24"/>
  <c r="C281" i="24"/>
  <c r="D281" i="24"/>
  <c r="D282" i="24" s="1"/>
  <c r="E281" i="24"/>
  <c r="U280" i="24"/>
  <c r="V280" i="24" s="1"/>
  <c r="P280" i="24"/>
  <c r="Q280" i="24" s="1"/>
  <c r="K280" i="24"/>
  <c r="L280" i="24" s="1"/>
  <c r="F280" i="24"/>
  <c r="G280" i="24" s="1"/>
  <c r="U279" i="24"/>
  <c r="V279" i="24" s="1"/>
  <c r="P279" i="24"/>
  <c r="Q279" i="24" s="1"/>
  <c r="K279" i="24"/>
  <c r="L279" i="24"/>
  <c r="F279" i="24"/>
  <c r="G279" i="24" s="1"/>
  <c r="U278" i="24"/>
  <c r="V278" i="24" s="1"/>
  <c r="P278" i="24"/>
  <c r="Q278" i="24" s="1"/>
  <c r="K278" i="24"/>
  <c r="L278" i="24" s="1"/>
  <c r="F278" i="24"/>
  <c r="G278" i="24" s="1"/>
  <c r="U277" i="24"/>
  <c r="V277" i="24" s="1"/>
  <c r="P277" i="24"/>
  <c r="Q277" i="24" s="1"/>
  <c r="K277" i="24"/>
  <c r="L277" i="24" s="1"/>
  <c r="F277" i="24"/>
  <c r="G277" i="24" s="1"/>
  <c r="U276" i="24"/>
  <c r="V276" i="24" s="1"/>
  <c r="P276" i="24"/>
  <c r="Q276" i="24" s="1"/>
  <c r="K276" i="24"/>
  <c r="L276" i="24"/>
  <c r="F276" i="24"/>
  <c r="G276" i="24" s="1"/>
  <c r="U275" i="24"/>
  <c r="V275" i="24" s="1"/>
  <c r="P275" i="24"/>
  <c r="Q275" i="24" s="1"/>
  <c r="K275" i="24"/>
  <c r="L275" i="24"/>
  <c r="F275" i="24"/>
  <c r="G275" i="24" s="1"/>
  <c r="U272" i="24"/>
  <c r="V272" i="24" s="1"/>
  <c r="P272" i="24"/>
  <c r="Q272" i="24" s="1"/>
  <c r="K272" i="24"/>
  <c r="L272" i="24" s="1"/>
  <c r="F272" i="24"/>
  <c r="G272" i="24" s="1"/>
  <c r="U271" i="24"/>
  <c r="V271" i="24" s="1"/>
  <c r="P271" i="24"/>
  <c r="Q271" i="24" s="1"/>
  <c r="K271" i="24"/>
  <c r="L271" i="24"/>
  <c r="F271" i="24"/>
  <c r="G271" i="24" s="1"/>
  <c r="F270" i="24"/>
  <c r="G270" i="24" s="1"/>
  <c r="U269" i="24"/>
  <c r="V269" i="24"/>
  <c r="P269" i="24"/>
  <c r="Q269" i="24" s="1"/>
  <c r="K269" i="24"/>
  <c r="L269" i="24" s="1"/>
  <c r="F269" i="24"/>
  <c r="G269" i="24" s="1"/>
  <c r="U268" i="24"/>
  <c r="V268" i="24"/>
  <c r="P268" i="24"/>
  <c r="Q268" i="24" s="1"/>
  <c r="K268" i="24"/>
  <c r="L268" i="24" s="1"/>
  <c r="F268" i="24"/>
  <c r="G268" i="24" s="1"/>
  <c r="F267" i="24"/>
  <c r="G267" i="24" s="1"/>
  <c r="U266" i="24"/>
  <c r="V266" i="24" s="1"/>
  <c r="P266" i="24"/>
  <c r="Q266" i="24"/>
  <c r="K266" i="24"/>
  <c r="L266" i="24" s="1"/>
  <c r="F266" i="24"/>
  <c r="G266" i="24" s="1"/>
  <c r="U265" i="24"/>
  <c r="V265" i="24" s="1"/>
  <c r="P265" i="24"/>
  <c r="Q265" i="24" s="1"/>
  <c r="K265" i="24"/>
  <c r="L265" i="24" s="1"/>
  <c r="F265" i="24"/>
  <c r="G265" i="24"/>
  <c r="U264" i="24"/>
  <c r="V264" i="24" s="1"/>
  <c r="P264" i="24"/>
  <c r="Q264" i="24" s="1"/>
  <c r="K264" i="24"/>
  <c r="L264" i="24" s="1"/>
  <c r="F264" i="24"/>
  <c r="G264" i="24"/>
  <c r="U263" i="24"/>
  <c r="V263" i="24" s="1"/>
  <c r="P263" i="24"/>
  <c r="Q263" i="24" s="1"/>
  <c r="K263" i="24"/>
  <c r="L263" i="24" s="1"/>
  <c r="F263" i="24"/>
  <c r="G263" i="24" s="1"/>
  <c r="U262" i="24"/>
  <c r="V262" i="24" s="1"/>
  <c r="P262" i="24"/>
  <c r="Q262" i="24" s="1"/>
  <c r="K262" i="24"/>
  <c r="L262" i="24" s="1"/>
  <c r="F262" i="24"/>
  <c r="G262" i="24"/>
  <c r="U261" i="24"/>
  <c r="V261" i="24" s="1"/>
  <c r="P261" i="24"/>
  <c r="Q261" i="24" s="1"/>
  <c r="K261" i="24"/>
  <c r="L261" i="24" s="1"/>
  <c r="F261" i="24"/>
  <c r="G261" i="24" s="1"/>
  <c r="U260" i="24"/>
  <c r="V260" i="24" s="1"/>
  <c r="P260" i="24"/>
  <c r="Q260" i="24" s="1"/>
  <c r="K260" i="24"/>
  <c r="L260" i="24" s="1"/>
  <c r="F260" i="24"/>
  <c r="G260" i="24"/>
  <c r="U259" i="24"/>
  <c r="V259" i="24" s="1"/>
  <c r="P259" i="24"/>
  <c r="Q259" i="24" s="1"/>
  <c r="K259" i="24"/>
  <c r="L259" i="24" s="1"/>
  <c r="F259" i="24"/>
  <c r="G259" i="24" s="1"/>
  <c r="W290" i="24"/>
  <c r="X290" i="24" s="1"/>
  <c r="W305" i="24"/>
  <c r="X305" i="24" s="1"/>
  <c r="F3" i="8"/>
  <c r="F4" i="8"/>
  <c r="F5" i="8"/>
  <c r="F6" i="8"/>
  <c r="F7" i="8"/>
  <c r="F8" i="8"/>
  <c r="F13" i="8"/>
  <c r="F14" i="8"/>
  <c r="F16" i="8"/>
  <c r="F19" i="8"/>
  <c r="F20" i="8"/>
  <c r="F22" i="8"/>
  <c r="F24" i="8"/>
  <c r="F25" i="8"/>
  <c r="F26" i="8"/>
  <c r="F27" i="8"/>
  <c r="F29" i="8"/>
  <c r="F30" i="8"/>
  <c r="E31" i="8"/>
  <c r="C38" i="6"/>
  <c r="B38" i="6"/>
  <c r="C24" i="3"/>
  <c r="W307" i="24"/>
  <c r="X307" i="24" s="1"/>
  <c r="W308" i="24"/>
  <c r="W309" i="24"/>
  <c r="X309" i="24" s="1"/>
  <c r="W310" i="24"/>
  <c r="X310" i="24" s="1"/>
  <c r="W306" i="24"/>
  <c r="W291" i="24"/>
  <c r="X291" i="24" s="1"/>
  <c r="W292" i="24"/>
  <c r="X292" i="24" s="1"/>
  <c r="W293" i="24"/>
  <c r="X293" i="24" s="1"/>
  <c r="W294" i="24"/>
  <c r="X294" i="24"/>
  <c r="W295" i="24"/>
  <c r="X295" i="24" s="1"/>
  <c r="W296" i="24"/>
  <c r="X296" i="24" s="1"/>
  <c r="W297" i="24"/>
  <c r="X297" i="24" s="1"/>
  <c r="W298" i="24"/>
  <c r="X298" i="24" s="1"/>
  <c r="W299" i="24"/>
  <c r="X299" i="24" s="1"/>
  <c r="W300" i="24"/>
  <c r="X300" i="24" s="1"/>
  <c r="W301" i="24"/>
  <c r="X301" i="24" s="1"/>
  <c r="W302" i="24"/>
  <c r="X302" i="24"/>
  <c r="W289" i="24"/>
  <c r="X289" i="24" s="1"/>
  <c r="M311" i="24"/>
  <c r="P311" i="24" s="1"/>
  <c r="Q311" i="24" s="1"/>
  <c r="N311" i="24"/>
  <c r="N312" i="24" s="1"/>
  <c r="O311" i="24"/>
  <c r="P308" i="24"/>
  <c r="Q308" i="24" s="1"/>
  <c r="P309" i="24"/>
  <c r="Q309" i="24" s="1"/>
  <c r="P310" i="24"/>
  <c r="Q310" i="24" s="1"/>
  <c r="P307" i="24"/>
  <c r="Q307" i="24" s="1"/>
  <c r="P305" i="24"/>
  <c r="Q305" i="24" s="1"/>
  <c r="P306" i="24"/>
  <c r="Q306" i="24" s="1"/>
  <c r="M303" i="24"/>
  <c r="N303" i="24"/>
  <c r="O303" i="24"/>
  <c r="P291" i="24"/>
  <c r="Q291" i="24" s="1"/>
  <c r="P292" i="24"/>
  <c r="Q292" i="24" s="1"/>
  <c r="P293" i="24"/>
  <c r="Q293" i="24" s="1"/>
  <c r="P294" i="24"/>
  <c r="Q294" i="24"/>
  <c r="P295" i="24"/>
  <c r="Q295" i="24" s="1"/>
  <c r="P296" i="24"/>
  <c r="Q296" i="24" s="1"/>
  <c r="P297" i="24"/>
  <c r="Q297" i="24" s="1"/>
  <c r="P298" i="24"/>
  <c r="Q298" i="24" s="1"/>
  <c r="P299" i="24"/>
  <c r="Q299" i="24" s="1"/>
  <c r="P300" i="24"/>
  <c r="Q300" i="24" s="1"/>
  <c r="P301" i="24"/>
  <c r="Q301" i="24" s="1"/>
  <c r="P290" i="24"/>
  <c r="Q290" i="24"/>
  <c r="P289" i="24"/>
  <c r="Q289" i="24" s="1"/>
  <c r="C303" i="24"/>
  <c r="C312" i="24" s="1"/>
  <c r="D303" i="24"/>
  <c r="F303" i="24" s="1"/>
  <c r="G303" i="24" s="1"/>
  <c r="E303" i="24"/>
  <c r="H303" i="24"/>
  <c r="I303" i="24"/>
  <c r="J303" i="24"/>
  <c r="R303" i="24"/>
  <c r="S303" i="24"/>
  <c r="T303" i="24"/>
  <c r="T312" i="24" s="1"/>
  <c r="R311" i="24"/>
  <c r="S311" i="24"/>
  <c r="T311" i="24"/>
  <c r="H311" i="24"/>
  <c r="I311" i="24"/>
  <c r="J311" i="24"/>
  <c r="C311" i="24"/>
  <c r="D311" i="24"/>
  <c r="E311" i="24"/>
  <c r="U310" i="24"/>
  <c r="V310" i="24" s="1"/>
  <c r="K310" i="24"/>
  <c r="L310" i="24" s="1"/>
  <c r="F310" i="24"/>
  <c r="G310" i="24" s="1"/>
  <c r="U309" i="24"/>
  <c r="V309" i="24" s="1"/>
  <c r="K309" i="24"/>
  <c r="L309" i="24" s="1"/>
  <c r="F309" i="24"/>
  <c r="G309" i="24" s="1"/>
  <c r="U308" i="24"/>
  <c r="V308" i="24" s="1"/>
  <c r="K308" i="24"/>
  <c r="L308" i="24"/>
  <c r="F308" i="24"/>
  <c r="G308" i="24" s="1"/>
  <c r="U307" i="24"/>
  <c r="V307" i="24" s="1"/>
  <c r="K307" i="24"/>
  <c r="L307" i="24" s="1"/>
  <c r="F307" i="24"/>
  <c r="G307" i="24"/>
  <c r="U306" i="24"/>
  <c r="V306" i="24" s="1"/>
  <c r="K306" i="24"/>
  <c r="L306" i="24" s="1"/>
  <c r="F306" i="24"/>
  <c r="G306" i="24" s="1"/>
  <c r="U305" i="24"/>
  <c r="V305" i="24" s="1"/>
  <c r="K305" i="24"/>
  <c r="L305" i="24" s="1"/>
  <c r="F305" i="24"/>
  <c r="G305" i="24" s="1"/>
  <c r="U302" i="24"/>
  <c r="V302" i="24" s="1"/>
  <c r="P302" i="24"/>
  <c r="Q302" i="24"/>
  <c r="K302" i="24"/>
  <c r="L302" i="24" s="1"/>
  <c r="F302" i="24"/>
  <c r="G302" i="24" s="1"/>
  <c r="U301" i="24"/>
  <c r="V301" i="24" s="1"/>
  <c r="K301" i="24"/>
  <c r="L301" i="24" s="1"/>
  <c r="F301" i="24"/>
  <c r="G301" i="24" s="1"/>
  <c r="U300" i="24"/>
  <c r="V300" i="24" s="1"/>
  <c r="K300" i="24"/>
  <c r="L300" i="24" s="1"/>
  <c r="F300" i="24"/>
  <c r="G300" i="24" s="1"/>
  <c r="U299" i="24"/>
  <c r="V299" i="24" s="1"/>
  <c r="K299" i="24"/>
  <c r="L299" i="24" s="1"/>
  <c r="F299" i="24"/>
  <c r="G299" i="24" s="1"/>
  <c r="U298" i="24"/>
  <c r="V298" i="24" s="1"/>
  <c r="K298" i="24"/>
  <c r="L298" i="24" s="1"/>
  <c r="F298" i="24"/>
  <c r="G298" i="24" s="1"/>
  <c r="U297" i="24"/>
  <c r="V297" i="24" s="1"/>
  <c r="K297" i="24"/>
  <c r="L297" i="24"/>
  <c r="F297" i="24"/>
  <c r="G297" i="24" s="1"/>
  <c r="U296" i="24"/>
  <c r="V296" i="24" s="1"/>
  <c r="K296" i="24"/>
  <c r="L296" i="24" s="1"/>
  <c r="F296" i="24"/>
  <c r="G296" i="24" s="1"/>
  <c r="U295" i="24"/>
  <c r="V295" i="24" s="1"/>
  <c r="K295" i="24"/>
  <c r="L295" i="24" s="1"/>
  <c r="F295" i="24"/>
  <c r="G295" i="24" s="1"/>
  <c r="U294" i="24"/>
  <c r="V294" i="24" s="1"/>
  <c r="K294" i="24"/>
  <c r="L294" i="24" s="1"/>
  <c r="F294" i="24"/>
  <c r="G294" i="24" s="1"/>
  <c r="U293" i="24"/>
  <c r="V293" i="24" s="1"/>
  <c r="K293" i="24"/>
  <c r="L293" i="24"/>
  <c r="F293" i="24"/>
  <c r="G293" i="24" s="1"/>
  <c r="U292" i="24"/>
  <c r="V292" i="24" s="1"/>
  <c r="K292" i="24"/>
  <c r="L292" i="24" s="1"/>
  <c r="F292" i="24"/>
  <c r="G292" i="24" s="1"/>
  <c r="U291" i="24"/>
  <c r="V291" i="24" s="1"/>
  <c r="K291" i="24"/>
  <c r="L291" i="24" s="1"/>
  <c r="F291" i="24"/>
  <c r="G291" i="24" s="1"/>
  <c r="U290" i="24"/>
  <c r="V290" i="24" s="1"/>
  <c r="K290" i="24"/>
  <c r="L290" i="24" s="1"/>
  <c r="F290" i="24"/>
  <c r="G290" i="24" s="1"/>
  <c r="U289" i="24"/>
  <c r="V289" i="24" s="1"/>
  <c r="K289" i="24"/>
  <c r="L289" i="24"/>
  <c r="F289" i="24"/>
  <c r="G289" i="24" s="1"/>
  <c r="F319" i="24"/>
  <c r="G319" i="24" s="1"/>
  <c r="K319" i="24"/>
  <c r="L319" i="24" s="1"/>
  <c r="P319" i="24"/>
  <c r="Q319" i="24" s="1"/>
  <c r="U319" i="24"/>
  <c r="V319" i="24" s="1"/>
  <c r="W319" i="24"/>
  <c r="X319" i="24" s="1"/>
  <c r="F320" i="24"/>
  <c r="G320" i="24" s="1"/>
  <c r="K320" i="24"/>
  <c r="L320" i="24" s="1"/>
  <c r="P320" i="24"/>
  <c r="Q320" i="24" s="1"/>
  <c r="U320" i="24"/>
  <c r="V320" i="24" s="1"/>
  <c r="W320" i="24"/>
  <c r="X320" i="24" s="1"/>
  <c r="F321" i="24"/>
  <c r="G321" i="24" s="1"/>
  <c r="K321" i="24"/>
  <c r="L321" i="24" s="1"/>
  <c r="P321" i="24"/>
  <c r="Q321" i="24" s="1"/>
  <c r="U321" i="24"/>
  <c r="V321" i="24" s="1"/>
  <c r="W321" i="24"/>
  <c r="X321" i="24" s="1"/>
  <c r="F322" i="24"/>
  <c r="G322" i="24" s="1"/>
  <c r="K322" i="24"/>
  <c r="L322" i="24" s="1"/>
  <c r="P322" i="24"/>
  <c r="Q322" i="24" s="1"/>
  <c r="U322" i="24"/>
  <c r="V322" i="24" s="1"/>
  <c r="W322" i="24"/>
  <c r="X322" i="24" s="1"/>
  <c r="F323" i="24"/>
  <c r="G323" i="24" s="1"/>
  <c r="K323" i="24"/>
  <c r="L323" i="24" s="1"/>
  <c r="P323" i="24"/>
  <c r="Q323" i="24" s="1"/>
  <c r="U323" i="24"/>
  <c r="V323" i="24" s="1"/>
  <c r="W323" i="24"/>
  <c r="X323" i="24" s="1"/>
  <c r="F324" i="24"/>
  <c r="G324" i="24" s="1"/>
  <c r="K324" i="24"/>
  <c r="L324" i="24" s="1"/>
  <c r="P324" i="24"/>
  <c r="Q324" i="24" s="1"/>
  <c r="U324" i="24"/>
  <c r="V324" i="24" s="1"/>
  <c r="W324" i="24"/>
  <c r="X324" i="24" s="1"/>
  <c r="F325" i="24"/>
  <c r="G325" i="24" s="1"/>
  <c r="K325" i="24"/>
  <c r="L325" i="24" s="1"/>
  <c r="P325" i="24"/>
  <c r="Q325" i="24" s="1"/>
  <c r="U325" i="24"/>
  <c r="V325" i="24" s="1"/>
  <c r="W325" i="24"/>
  <c r="X325" i="24" s="1"/>
  <c r="F326" i="24"/>
  <c r="G326" i="24" s="1"/>
  <c r="K326" i="24"/>
  <c r="L326" i="24" s="1"/>
  <c r="P326" i="24"/>
  <c r="Q326" i="24" s="1"/>
  <c r="U326" i="24"/>
  <c r="V326" i="24" s="1"/>
  <c r="W326" i="24"/>
  <c r="X326" i="24" s="1"/>
  <c r="F327" i="24"/>
  <c r="G327" i="24" s="1"/>
  <c r="K327" i="24"/>
  <c r="L327" i="24" s="1"/>
  <c r="P327" i="24"/>
  <c r="Q327" i="24" s="1"/>
  <c r="U327" i="24"/>
  <c r="V327" i="24" s="1"/>
  <c r="W327" i="24"/>
  <c r="X327" i="24" s="1"/>
  <c r="F328" i="24"/>
  <c r="G328" i="24" s="1"/>
  <c r="K328" i="24"/>
  <c r="L328" i="24"/>
  <c r="P328" i="24"/>
  <c r="Q328" i="24"/>
  <c r="U328" i="24"/>
  <c r="V328" i="24" s="1"/>
  <c r="W328" i="24"/>
  <c r="X328" i="24"/>
  <c r="F329" i="24"/>
  <c r="G329" i="24" s="1"/>
  <c r="K329" i="24"/>
  <c r="L329" i="24"/>
  <c r="P329" i="24"/>
  <c r="Q329" i="24" s="1"/>
  <c r="U329" i="24"/>
  <c r="V329" i="24"/>
  <c r="W329" i="24"/>
  <c r="X329" i="24"/>
  <c r="F330" i="24"/>
  <c r="G330" i="24" s="1"/>
  <c r="K330" i="24"/>
  <c r="L330" i="24"/>
  <c r="P330" i="24"/>
  <c r="Q330" i="24" s="1"/>
  <c r="U330" i="24"/>
  <c r="V330" i="24"/>
  <c r="W330" i="24"/>
  <c r="X330" i="24" s="1"/>
  <c r="F331" i="24"/>
  <c r="G331" i="24" s="1"/>
  <c r="K331" i="24"/>
  <c r="L331" i="24" s="1"/>
  <c r="P331" i="24"/>
  <c r="Q331" i="24"/>
  <c r="U331" i="24"/>
  <c r="V331" i="24" s="1"/>
  <c r="W331" i="24"/>
  <c r="X331" i="24"/>
  <c r="F332" i="24"/>
  <c r="G332" i="24" s="1"/>
  <c r="K332" i="24"/>
  <c r="L332" i="24" s="1"/>
  <c r="P332" i="24"/>
  <c r="Q332" i="24" s="1"/>
  <c r="U332" i="24"/>
  <c r="V332" i="24" s="1"/>
  <c r="W332" i="24"/>
  <c r="X332" i="24" s="1"/>
  <c r="C333" i="24"/>
  <c r="D333" i="24"/>
  <c r="E333" i="24"/>
  <c r="E342" i="24" s="1"/>
  <c r="H333" i="24"/>
  <c r="I333" i="24"/>
  <c r="I342" i="24" s="1"/>
  <c r="J333" i="24"/>
  <c r="M333" i="24"/>
  <c r="N333" i="24"/>
  <c r="O333" i="24"/>
  <c r="R333" i="24"/>
  <c r="S333" i="24"/>
  <c r="T333" i="24"/>
  <c r="U333" i="24" s="1"/>
  <c r="V333" i="24" s="1"/>
  <c r="F335" i="24"/>
  <c r="G335" i="24" s="1"/>
  <c r="K335" i="24"/>
  <c r="L335" i="24" s="1"/>
  <c r="P335" i="24"/>
  <c r="Q335" i="24"/>
  <c r="U335" i="24"/>
  <c r="V335" i="24" s="1"/>
  <c r="W335" i="24"/>
  <c r="X335" i="24"/>
  <c r="F336" i="24"/>
  <c r="G336" i="24" s="1"/>
  <c r="K336" i="24"/>
  <c r="L336" i="24" s="1"/>
  <c r="P336" i="24"/>
  <c r="Q336" i="24" s="1"/>
  <c r="U336" i="24"/>
  <c r="V336" i="24" s="1"/>
  <c r="W336" i="24"/>
  <c r="F337" i="24"/>
  <c r="G337" i="24"/>
  <c r="K337" i="24"/>
  <c r="L337" i="24" s="1"/>
  <c r="P337" i="24"/>
  <c r="Q337" i="24" s="1"/>
  <c r="U337" i="24"/>
  <c r="V337" i="24" s="1"/>
  <c r="W337" i="24"/>
  <c r="X337" i="24" s="1"/>
  <c r="F338" i="24"/>
  <c r="G338" i="24" s="1"/>
  <c r="K338" i="24"/>
  <c r="L338" i="24" s="1"/>
  <c r="P338" i="24"/>
  <c r="Q338" i="24" s="1"/>
  <c r="U338" i="24"/>
  <c r="V338" i="24"/>
  <c r="W338" i="24"/>
  <c r="X338" i="24" s="1"/>
  <c r="F339" i="24"/>
  <c r="G339" i="24"/>
  <c r="K339" i="24"/>
  <c r="L339" i="24" s="1"/>
  <c r="P339" i="24"/>
  <c r="Q339" i="24" s="1"/>
  <c r="U339" i="24"/>
  <c r="V339" i="24" s="1"/>
  <c r="W339" i="24"/>
  <c r="X339" i="24" s="1"/>
  <c r="F340" i="24"/>
  <c r="G340" i="24" s="1"/>
  <c r="K340" i="24"/>
  <c r="L340" i="24"/>
  <c r="P340" i="24"/>
  <c r="Q340" i="24" s="1"/>
  <c r="U340" i="24"/>
  <c r="V340" i="24"/>
  <c r="W340" i="24"/>
  <c r="X340" i="24" s="1"/>
  <c r="C341" i="24"/>
  <c r="D341" i="24"/>
  <c r="E341" i="24"/>
  <c r="H341" i="24"/>
  <c r="K341" i="24" s="1"/>
  <c r="L341" i="24" s="1"/>
  <c r="I341" i="24"/>
  <c r="J341" i="24"/>
  <c r="M341" i="24"/>
  <c r="N341" i="24"/>
  <c r="O341" i="24"/>
  <c r="O342" i="24" s="1"/>
  <c r="R341" i="24"/>
  <c r="S341" i="24"/>
  <c r="T341" i="24"/>
  <c r="W366" i="24"/>
  <c r="W368" i="24"/>
  <c r="X368" i="24"/>
  <c r="W349" i="24"/>
  <c r="X349" i="24" s="1"/>
  <c r="W350" i="24"/>
  <c r="X350" i="24" s="1"/>
  <c r="W351" i="24"/>
  <c r="X351" i="24" s="1"/>
  <c r="W352" i="24"/>
  <c r="X352" i="24" s="1"/>
  <c r="W353" i="24"/>
  <c r="X353" i="24" s="1"/>
  <c r="W354" i="24"/>
  <c r="X354" i="24" s="1"/>
  <c r="W355" i="24"/>
  <c r="X355" i="24" s="1"/>
  <c r="W356" i="24"/>
  <c r="X356" i="24" s="1"/>
  <c r="W357" i="24"/>
  <c r="X357" i="24" s="1"/>
  <c r="W358" i="24"/>
  <c r="X358" i="24" s="1"/>
  <c r="W359" i="24"/>
  <c r="X359" i="24" s="1"/>
  <c r="W360" i="24"/>
  <c r="X360" i="24"/>
  <c r="W361" i="24"/>
  <c r="X361" i="24" s="1"/>
  <c r="W362" i="24"/>
  <c r="X362" i="24" s="1"/>
  <c r="W365" i="24"/>
  <c r="X365" i="24" s="1"/>
  <c r="W367" i="24"/>
  <c r="X367" i="24" s="1"/>
  <c r="W369" i="24"/>
  <c r="X369" i="24" s="1"/>
  <c r="W370" i="24"/>
  <c r="X370" i="24" s="1"/>
  <c r="C363" i="24"/>
  <c r="D363" i="24"/>
  <c r="E363" i="24"/>
  <c r="H363" i="24"/>
  <c r="W363" i="24" s="1"/>
  <c r="I363" i="24"/>
  <c r="J363" i="24"/>
  <c r="M363" i="24"/>
  <c r="N363" i="24"/>
  <c r="O363" i="24"/>
  <c r="R363" i="24"/>
  <c r="S363" i="24"/>
  <c r="T363" i="24"/>
  <c r="R371" i="24"/>
  <c r="S371" i="24"/>
  <c r="T371" i="24"/>
  <c r="M371" i="24"/>
  <c r="N371" i="24"/>
  <c r="O371" i="24"/>
  <c r="O372" i="24" s="1"/>
  <c r="H371" i="24"/>
  <c r="H372" i="24" s="1"/>
  <c r="I371" i="24"/>
  <c r="J371" i="24"/>
  <c r="C371" i="24"/>
  <c r="D371" i="24"/>
  <c r="E371" i="24"/>
  <c r="U370" i="24"/>
  <c r="V370" i="24" s="1"/>
  <c r="P370" i="24"/>
  <c r="Q370" i="24" s="1"/>
  <c r="K370" i="24"/>
  <c r="L370" i="24" s="1"/>
  <c r="F370" i="24"/>
  <c r="G370" i="24" s="1"/>
  <c r="U369" i="24"/>
  <c r="V369" i="24" s="1"/>
  <c r="P369" i="24"/>
  <c r="Q369" i="24" s="1"/>
  <c r="K369" i="24"/>
  <c r="L369" i="24"/>
  <c r="F369" i="24"/>
  <c r="G369" i="24" s="1"/>
  <c r="U368" i="24"/>
  <c r="V368" i="24" s="1"/>
  <c r="P368" i="24"/>
  <c r="Q368" i="24" s="1"/>
  <c r="K368" i="24"/>
  <c r="L368" i="24" s="1"/>
  <c r="F368" i="24"/>
  <c r="G368" i="24" s="1"/>
  <c r="U367" i="24"/>
  <c r="V367" i="24" s="1"/>
  <c r="P367" i="24"/>
  <c r="Q367" i="24" s="1"/>
  <c r="K367" i="24"/>
  <c r="L367" i="24" s="1"/>
  <c r="F367" i="24"/>
  <c r="G367" i="24" s="1"/>
  <c r="U366" i="24"/>
  <c r="V366" i="24" s="1"/>
  <c r="P366" i="24"/>
  <c r="Q366" i="24" s="1"/>
  <c r="K366" i="24"/>
  <c r="L366" i="24" s="1"/>
  <c r="F366" i="24"/>
  <c r="G366" i="24" s="1"/>
  <c r="U365" i="24"/>
  <c r="V365" i="24"/>
  <c r="P365" i="24"/>
  <c r="Q365" i="24" s="1"/>
  <c r="K365" i="24"/>
  <c r="L365" i="24" s="1"/>
  <c r="F365" i="24"/>
  <c r="G365" i="24" s="1"/>
  <c r="U362" i="24"/>
  <c r="V362" i="24" s="1"/>
  <c r="P362" i="24"/>
  <c r="Q362" i="24" s="1"/>
  <c r="K362" i="24"/>
  <c r="L362" i="24" s="1"/>
  <c r="F362" i="24"/>
  <c r="G362" i="24" s="1"/>
  <c r="U361" i="24"/>
  <c r="V361" i="24" s="1"/>
  <c r="P361" i="24"/>
  <c r="Q361" i="24" s="1"/>
  <c r="K361" i="24"/>
  <c r="L361" i="24"/>
  <c r="F361" i="24"/>
  <c r="G361" i="24" s="1"/>
  <c r="U360" i="24"/>
  <c r="V360" i="24" s="1"/>
  <c r="P360" i="24"/>
  <c r="Q360" i="24" s="1"/>
  <c r="K360" i="24"/>
  <c r="L360" i="24" s="1"/>
  <c r="F360" i="24"/>
  <c r="G360" i="24" s="1"/>
  <c r="U359" i="24"/>
  <c r="V359" i="24" s="1"/>
  <c r="P359" i="24"/>
  <c r="Q359" i="24" s="1"/>
  <c r="K359" i="24"/>
  <c r="L359" i="24" s="1"/>
  <c r="F359" i="24"/>
  <c r="G359" i="24" s="1"/>
  <c r="U358" i="24"/>
  <c r="V358" i="24" s="1"/>
  <c r="P358" i="24"/>
  <c r="Q358" i="24" s="1"/>
  <c r="K358" i="24"/>
  <c r="L358" i="24" s="1"/>
  <c r="F358" i="24"/>
  <c r="G358" i="24" s="1"/>
  <c r="U357" i="24"/>
  <c r="V357" i="24" s="1"/>
  <c r="P357" i="24"/>
  <c r="Q357" i="24" s="1"/>
  <c r="K357" i="24"/>
  <c r="L357" i="24"/>
  <c r="F357" i="24"/>
  <c r="G357" i="24" s="1"/>
  <c r="U356" i="24"/>
  <c r="V356" i="24"/>
  <c r="P356" i="24"/>
  <c r="Q356" i="24" s="1"/>
  <c r="K356" i="24"/>
  <c r="L356" i="24" s="1"/>
  <c r="F356" i="24"/>
  <c r="G356" i="24" s="1"/>
  <c r="U355" i="24"/>
  <c r="V355" i="24"/>
  <c r="P355" i="24"/>
  <c r="Q355" i="24" s="1"/>
  <c r="K355" i="24"/>
  <c r="L355" i="24"/>
  <c r="F355" i="24"/>
  <c r="G355" i="24" s="1"/>
  <c r="U354" i="24"/>
  <c r="V354" i="24" s="1"/>
  <c r="P354" i="24"/>
  <c r="Q354" i="24" s="1"/>
  <c r="K354" i="24"/>
  <c r="L354" i="24" s="1"/>
  <c r="F354" i="24"/>
  <c r="G354" i="24" s="1"/>
  <c r="U353" i="24"/>
  <c r="V353" i="24" s="1"/>
  <c r="P353" i="24"/>
  <c r="Q353" i="24" s="1"/>
  <c r="K353" i="24"/>
  <c r="L353" i="24"/>
  <c r="F353" i="24"/>
  <c r="G353" i="24" s="1"/>
  <c r="U352" i="24"/>
  <c r="V352" i="24"/>
  <c r="P352" i="24"/>
  <c r="Q352" i="24" s="1"/>
  <c r="K352" i="24"/>
  <c r="L352" i="24" s="1"/>
  <c r="F352" i="24"/>
  <c r="G352" i="24" s="1"/>
  <c r="U351" i="24"/>
  <c r="V351" i="24" s="1"/>
  <c r="P351" i="24"/>
  <c r="Q351" i="24" s="1"/>
  <c r="K351" i="24"/>
  <c r="L351" i="24" s="1"/>
  <c r="F351" i="24"/>
  <c r="G351" i="24" s="1"/>
  <c r="U350" i="24"/>
  <c r="V350" i="24" s="1"/>
  <c r="P350" i="24"/>
  <c r="Q350" i="24" s="1"/>
  <c r="K350" i="24"/>
  <c r="L350" i="24" s="1"/>
  <c r="F350" i="24"/>
  <c r="G350" i="24" s="1"/>
  <c r="U349" i="24"/>
  <c r="V349" i="24" s="1"/>
  <c r="P349" i="24"/>
  <c r="Q349" i="24" s="1"/>
  <c r="K349" i="24"/>
  <c r="L349" i="24"/>
  <c r="F349" i="24"/>
  <c r="G349" i="24" s="1"/>
  <c r="N47" i="26"/>
  <c r="O47" i="26" s="1"/>
  <c r="N43" i="26"/>
  <c r="N39" i="26"/>
  <c r="O39" i="26" s="1"/>
  <c r="N35" i="26"/>
  <c r="O35" i="26" s="1"/>
  <c r="N31" i="26"/>
  <c r="E393" i="24"/>
  <c r="D393" i="24"/>
  <c r="C393" i="24"/>
  <c r="R401" i="24"/>
  <c r="S401" i="24"/>
  <c r="T401" i="24"/>
  <c r="U401" i="24" s="1"/>
  <c r="V401" i="24" s="1"/>
  <c r="U400" i="24"/>
  <c r="V400" i="24" s="1"/>
  <c r="U399" i="24"/>
  <c r="V399" i="24" s="1"/>
  <c r="U398" i="24"/>
  <c r="V398" i="24"/>
  <c r="U397" i="24"/>
  <c r="V397" i="24" s="1"/>
  <c r="U396" i="24"/>
  <c r="V396" i="24" s="1"/>
  <c r="U395" i="24"/>
  <c r="V395" i="24" s="1"/>
  <c r="R393" i="24"/>
  <c r="S393" i="24"/>
  <c r="S402" i="24" s="1"/>
  <c r="T393" i="24"/>
  <c r="U392" i="24"/>
  <c r="V392" i="24" s="1"/>
  <c r="U391" i="24"/>
  <c r="V391" i="24" s="1"/>
  <c r="U390" i="24"/>
  <c r="V390" i="24" s="1"/>
  <c r="U389" i="24"/>
  <c r="V389" i="24" s="1"/>
  <c r="U388" i="24"/>
  <c r="V388" i="24" s="1"/>
  <c r="U387" i="24"/>
  <c r="V387" i="24" s="1"/>
  <c r="U386" i="24"/>
  <c r="V386" i="24" s="1"/>
  <c r="U385" i="24"/>
  <c r="V385" i="24" s="1"/>
  <c r="U384" i="24"/>
  <c r="V384" i="24" s="1"/>
  <c r="U383" i="24"/>
  <c r="V383" i="24" s="1"/>
  <c r="U382" i="24"/>
  <c r="V382" i="24" s="1"/>
  <c r="U381" i="24"/>
  <c r="V381" i="24" s="1"/>
  <c r="U380" i="24"/>
  <c r="V380" i="24" s="1"/>
  <c r="U379" i="24"/>
  <c r="V379" i="24" s="1"/>
  <c r="E423" i="24"/>
  <c r="C423" i="24"/>
  <c r="F423" i="24" s="1"/>
  <c r="U409" i="24"/>
  <c r="V409" i="24" s="1"/>
  <c r="F422" i="24"/>
  <c r="G422" i="24" s="1"/>
  <c r="F421" i="24"/>
  <c r="G421" i="24" s="1"/>
  <c r="F420" i="24"/>
  <c r="G420" i="24" s="1"/>
  <c r="F419" i="24"/>
  <c r="G419" i="24" s="1"/>
  <c r="F418" i="24"/>
  <c r="G418" i="24" s="1"/>
  <c r="F417" i="24"/>
  <c r="G417" i="24" s="1"/>
  <c r="F416" i="24"/>
  <c r="G416" i="24" s="1"/>
  <c r="F415" i="24"/>
  <c r="G415" i="24" s="1"/>
  <c r="F414" i="24"/>
  <c r="G414" i="24" s="1"/>
  <c r="F413" i="24"/>
  <c r="G413" i="24" s="1"/>
  <c r="F412" i="24"/>
  <c r="G412" i="24" s="1"/>
  <c r="F411" i="24"/>
  <c r="G411" i="24" s="1"/>
  <c r="F410" i="24"/>
  <c r="G410" i="24" s="1"/>
  <c r="F409" i="24"/>
  <c r="G409" i="24" s="1"/>
  <c r="C401" i="24"/>
  <c r="D401" i="24"/>
  <c r="E401" i="24"/>
  <c r="F400" i="24"/>
  <c r="G400" i="24" s="1"/>
  <c r="F399" i="24"/>
  <c r="G399" i="24" s="1"/>
  <c r="F398" i="24"/>
  <c r="G398" i="24" s="1"/>
  <c r="F397" i="24"/>
  <c r="G397" i="24" s="1"/>
  <c r="F396" i="24"/>
  <c r="G396" i="24" s="1"/>
  <c r="F395" i="24"/>
  <c r="G395" i="24" s="1"/>
  <c r="F392" i="24"/>
  <c r="G392" i="24"/>
  <c r="F391" i="24"/>
  <c r="G391" i="24" s="1"/>
  <c r="F390" i="24"/>
  <c r="G390" i="24" s="1"/>
  <c r="F389" i="24"/>
  <c r="G389" i="24" s="1"/>
  <c r="F388" i="24"/>
  <c r="G388" i="24" s="1"/>
  <c r="F387" i="24"/>
  <c r="G387" i="24" s="1"/>
  <c r="F386" i="24"/>
  <c r="G386" i="24" s="1"/>
  <c r="F385" i="24"/>
  <c r="G385" i="24" s="1"/>
  <c r="F384" i="24"/>
  <c r="G384" i="24" s="1"/>
  <c r="F383" i="24"/>
  <c r="G383" i="24" s="1"/>
  <c r="F382" i="24"/>
  <c r="G382" i="24" s="1"/>
  <c r="F381" i="24"/>
  <c r="G381" i="24" s="1"/>
  <c r="F380" i="24"/>
  <c r="G380" i="24"/>
  <c r="F379" i="24"/>
  <c r="G379" i="24" s="1"/>
  <c r="R431" i="24"/>
  <c r="R432" i="24" s="1"/>
  <c r="S431" i="24"/>
  <c r="T431" i="24"/>
  <c r="U430" i="24"/>
  <c r="V430" i="24"/>
  <c r="U429" i="24"/>
  <c r="V429" i="24" s="1"/>
  <c r="U428" i="24"/>
  <c r="V428" i="24" s="1"/>
  <c r="U427" i="24"/>
  <c r="V427" i="24" s="1"/>
  <c r="U426" i="24"/>
  <c r="V426" i="24" s="1"/>
  <c r="U425" i="24"/>
  <c r="V425" i="24" s="1"/>
  <c r="R423" i="24"/>
  <c r="S423" i="24"/>
  <c r="T423" i="24"/>
  <c r="U422" i="24"/>
  <c r="V422" i="24" s="1"/>
  <c r="U421" i="24"/>
  <c r="V421" i="24" s="1"/>
  <c r="U420" i="24"/>
  <c r="V420" i="24" s="1"/>
  <c r="U419" i="24"/>
  <c r="V419" i="24" s="1"/>
  <c r="U418" i="24"/>
  <c r="V418" i="24" s="1"/>
  <c r="U417" i="24"/>
  <c r="V417" i="24"/>
  <c r="U416" i="24"/>
  <c r="V416" i="24" s="1"/>
  <c r="U415" i="24"/>
  <c r="V415" i="24" s="1"/>
  <c r="U414" i="24"/>
  <c r="V414" i="24" s="1"/>
  <c r="U413" i="24"/>
  <c r="V413" i="24" s="1"/>
  <c r="U412" i="24"/>
  <c r="V412" i="24" s="1"/>
  <c r="U411" i="24"/>
  <c r="V411" i="24" s="1"/>
  <c r="U410" i="24"/>
  <c r="V410" i="24" s="1"/>
  <c r="W379" i="24"/>
  <c r="X379" i="24" s="1"/>
  <c r="W380" i="24"/>
  <c r="X380" i="24" s="1"/>
  <c r="W381" i="24"/>
  <c r="X381" i="24" s="1"/>
  <c r="W382" i="24"/>
  <c r="X382" i="24" s="1"/>
  <c r="W383" i="24"/>
  <c r="X383" i="24" s="1"/>
  <c r="W384" i="24"/>
  <c r="X384" i="24" s="1"/>
  <c r="W385" i="24"/>
  <c r="X385" i="24" s="1"/>
  <c r="W386" i="24"/>
  <c r="X386" i="24" s="1"/>
  <c r="W387" i="24"/>
  <c r="X387" i="24" s="1"/>
  <c r="W388" i="24"/>
  <c r="X388" i="24" s="1"/>
  <c r="W389" i="24"/>
  <c r="X389" i="24" s="1"/>
  <c r="W390" i="24"/>
  <c r="X390" i="24" s="1"/>
  <c r="W391" i="24"/>
  <c r="X391" i="24" s="1"/>
  <c r="W392" i="24"/>
  <c r="X392" i="24" s="1"/>
  <c r="W395" i="24"/>
  <c r="X395" i="24" s="1"/>
  <c r="W396" i="24"/>
  <c r="W397" i="24"/>
  <c r="X397" i="24" s="1"/>
  <c r="W398" i="24"/>
  <c r="X398" i="24" s="1"/>
  <c r="W399" i="24"/>
  <c r="X399" i="24" s="1"/>
  <c r="W400" i="24"/>
  <c r="X400" i="24" s="1"/>
  <c r="H393" i="24"/>
  <c r="K393" i="24" s="1"/>
  <c r="L393" i="24" s="1"/>
  <c r="I393" i="24"/>
  <c r="J393" i="24"/>
  <c r="M393" i="24"/>
  <c r="N393" i="24"/>
  <c r="O393" i="24"/>
  <c r="M401" i="24"/>
  <c r="N401" i="24"/>
  <c r="O401" i="24"/>
  <c r="H401" i="24"/>
  <c r="I401" i="24"/>
  <c r="I402" i="24" s="1"/>
  <c r="J401" i="24"/>
  <c r="J402" i="24" s="1"/>
  <c r="P400" i="24"/>
  <c r="Q400" i="24"/>
  <c r="K400" i="24"/>
  <c r="L400" i="24" s="1"/>
  <c r="P399" i="24"/>
  <c r="Q399" i="24" s="1"/>
  <c r="K399" i="24"/>
  <c r="L399" i="24" s="1"/>
  <c r="P398" i="24"/>
  <c r="Q398" i="24"/>
  <c r="K398" i="24"/>
  <c r="L398" i="24" s="1"/>
  <c r="P397" i="24"/>
  <c r="Q397" i="24" s="1"/>
  <c r="K397" i="24"/>
  <c r="L397" i="24" s="1"/>
  <c r="P396" i="24"/>
  <c r="Q396" i="24"/>
  <c r="K396" i="24"/>
  <c r="L396" i="24" s="1"/>
  <c r="P395" i="24"/>
  <c r="Q395" i="24"/>
  <c r="K395" i="24"/>
  <c r="L395" i="24" s="1"/>
  <c r="P392" i="24"/>
  <c r="Q392" i="24" s="1"/>
  <c r="K392" i="24"/>
  <c r="L392" i="24" s="1"/>
  <c r="P391" i="24"/>
  <c r="Q391" i="24" s="1"/>
  <c r="K391" i="24"/>
  <c r="L391" i="24" s="1"/>
  <c r="P390" i="24"/>
  <c r="Q390" i="24" s="1"/>
  <c r="K390" i="24"/>
  <c r="L390" i="24" s="1"/>
  <c r="P389" i="24"/>
  <c r="Q389" i="24" s="1"/>
  <c r="K389" i="24"/>
  <c r="L389" i="24" s="1"/>
  <c r="P388" i="24"/>
  <c r="Q388" i="24" s="1"/>
  <c r="K388" i="24"/>
  <c r="L388" i="24" s="1"/>
  <c r="P387" i="24"/>
  <c r="Q387" i="24" s="1"/>
  <c r="K387" i="24"/>
  <c r="L387" i="24" s="1"/>
  <c r="P386" i="24"/>
  <c r="Q386" i="24" s="1"/>
  <c r="K386" i="24"/>
  <c r="L386" i="24" s="1"/>
  <c r="P385" i="24"/>
  <c r="Q385" i="24" s="1"/>
  <c r="K385" i="24"/>
  <c r="L385" i="24" s="1"/>
  <c r="P384" i="24"/>
  <c r="Q384" i="24" s="1"/>
  <c r="K384" i="24"/>
  <c r="L384" i="24" s="1"/>
  <c r="P383" i="24"/>
  <c r="Q383" i="24" s="1"/>
  <c r="K383" i="24"/>
  <c r="L383" i="24" s="1"/>
  <c r="P382" i="24"/>
  <c r="Q382" i="24" s="1"/>
  <c r="K382" i="24"/>
  <c r="L382" i="24" s="1"/>
  <c r="P381" i="24"/>
  <c r="Q381" i="24" s="1"/>
  <c r="K381" i="24"/>
  <c r="L381" i="24" s="1"/>
  <c r="P380" i="24"/>
  <c r="Q380" i="24" s="1"/>
  <c r="K380" i="24"/>
  <c r="L380" i="24" s="1"/>
  <c r="P379" i="24"/>
  <c r="Q379" i="24" s="1"/>
  <c r="K379" i="24"/>
  <c r="L379" i="24" s="1"/>
  <c r="O431" i="24"/>
  <c r="M431" i="24"/>
  <c r="N431" i="24"/>
  <c r="P430" i="24"/>
  <c r="Q430" i="24" s="1"/>
  <c r="P429" i="24"/>
  <c r="Q429" i="24" s="1"/>
  <c r="P428" i="24"/>
  <c r="Q428" i="24" s="1"/>
  <c r="P427" i="24"/>
  <c r="Q427" i="24"/>
  <c r="P426" i="24"/>
  <c r="Q426" i="24" s="1"/>
  <c r="P425" i="24"/>
  <c r="Q425" i="24" s="1"/>
  <c r="P421" i="24"/>
  <c r="Q421" i="24" s="1"/>
  <c r="P420" i="24"/>
  <c r="Q420" i="24" s="1"/>
  <c r="P419" i="24"/>
  <c r="Q419" i="24" s="1"/>
  <c r="P418" i="24"/>
  <c r="Q418" i="24" s="1"/>
  <c r="P417" i="24"/>
  <c r="Q417" i="24" s="1"/>
  <c r="P416" i="24"/>
  <c r="Q416" i="24"/>
  <c r="P415" i="24"/>
  <c r="Q415" i="24" s="1"/>
  <c r="P414" i="24"/>
  <c r="Q414" i="24" s="1"/>
  <c r="P413" i="24"/>
  <c r="Q413" i="24" s="1"/>
  <c r="P412" i="24"/>
  <c r="Q412" i="24" s="1"/>
  <c r="P411" i="24"/>
  <c r="Q411" i="24" s="1"/>
  <c r="P410" i="24"/>
  <c r="Q410" i="24" s="1"/>
  <c r="P409" i="24"/>
  <c r="Q409" i="24" s="1"/>
  <c r="M423" i="24"/>
  <c r="W430" i="24"/>
  <c r="X430" i="24" s="1"/>
  <c r="W429" i="24"/>
  <c r="X429" i="24" s="1"/>
  <c r="W428" i="24"/>
  <c r="X428" i="24" s="1"/>
  <c r="W427" i="24"/>
  <c r="X427" i="24" s="1"/>
  <c r="W426" i="24"/>
  <c r="X426" i="24" s="1"/>
  <c r="W425" i="24"/>
  <c r="X425" i="24" s="1"/>
  <c r="H423" i="24"/>
  <c r="H432" i="24" s="1"/>
  <c r="I423" i="24"/>
  <c r="J423" i="24"/>
  <c r="N423" i="24"/>
  <c r="O423" i="24"/>
  <c r="W422" i="24"/>
  <c r="X422" i="24" s="1"/>
  <c r="W421" i="24"/>
  <c r="X421" i="24" s="1"/>
  <c r="W420" i="24"/>
  <c r="X420" i="24" s="1"/>
  <c r="W419" i="24"/>
  <c r="X419" i="24" s="1"/>
  <c r="W418" i="24"/>
  <c r="W417" i="24"/>
  <c r="X417" i="24" s="1"/>
  <c r="W416" i="24"/>
  <c r="X416" i="24" s="1"/>
  <c r="W415" i="24"/>
  <c r="X415" i="24" s="1"/>
  <c r="W414" i="24"/>
  <c r="X414" i="24" s="1"/>
  <c r="W413" i="24"/>
  <c r="X413" i="24" s="1"/>
  <c r="W412" i="24"/>
  <c r="X412" i="24" s="1"/>
  <c r="W411" i="24"/>
  <c r="X411" i="24" s="1"/>
  <c r="W410" i="24"/>
  <c r="X410" i="24" s="1"/>
  <c r="W409" i="24"/>
  <c r="X409" i="24" s="1"/>
  <c r="W456" i="24"/>
  <c r="X456" i="24" s="1"/>
  <c r="W455" i="24"/>
  <c r="X455" i="24" s="1"/>
  <c r="W454" i="24"/>
  <c r="X454" i="24" s="1"/>
  <c r="W453" i="24"/>
  <c r="X453" i="24" s="1"/>
  <c r="W452" i="24"/>
  <c r="X452" i="24" s="1"/>
  <c r="W451" i="24"/>
  <c r="X451" i="24" s="1"/>
  <c r="W450" i="24"/>
  <c r="X450" i="24" s="1"/>
  <c r="W449" i="24"/>
  <c r="X449" i="24" s="1"/>
  <c r="W448" i="24"/>
  <c r="X448" i="24" s="1"/>
  <c r="W447" i="24"/>
  <c r="X447" i="24" s="1"/>
  <c r="W446" i="24"/>
  <c r="X446" i="24" s="1"/>
  <c r="W445" i="24"/>
  <c r="X445" i="24" s="1"/>
  <c r="W444" i="24"/>
  <c r="X444" i="24" s="1"/>
  <c r="W443" i="24"/>
  <c r="X443" i="24" s="1"/>
  <c r="W464" i="24"/>
  <c r="X464" i="24" s="1"/>
  <c r="W463" i="24"/>
  <c r="W462" i="24"/>
  <c r="W461" i="24"/>
  <c r="X461" i="24" s="1"/>
  <c r="W460" i="24"/>
  <c r="X460" i="24" s="1"/>
  <c r="W459" i="24"/>
  <c r="X459" i="24" s="1"/>
  <c r="R465" i="24"/>
  <c r="S465" i="24"/>
  <c r="S466" i="24" s="1"/>
  <c r="T465" i="24"/>
  <c r="T466" i="24" s="1"/>
  <c r="U464" i="24"/>
  <c r="V464" i="24" s="1"/>
  <c r="U463" i="24"/>
  <c r="V463" i="24" s="1"/>
  <c r="U462" i="24"/>
  <c r="V462" i="24" s="1"/>
  <c r="U461" i="24"/>
  <c r="V461" i="24" s="1"/>
  <c r="U460" i="24"/>
  <c r="V460" i="24" s="1"/>
  <c r="U459" i="24"/>
  <c r="V459" i="24" s="1"/>
  <c r="R457" i="24"/>
  <c r="S457" i="24"/>
  <c r="T457" i="24"/>
  <c r="U456" i="24"/>
  <c r="V456" i="24" s="1"/>
  <c r="U455" i="24"/>
  <c r="V455" i="24" s="1"/>
  <c r="U454" i="24"/>
  <c r="V454" i="24" s="1"/>
  <c r="U453" i="24"/>
  <c r="V453" i="24" s="1"/>
  <c r="U452" i="24"/>
  <c r="V452" i="24" s="1"/>
  <c r="U451" i="24"/>
  <c r="V451" i="24" s="1"/>
  <c r="U450" i="24"/>
  <c r="V450" i="24" s="1"/>
  <c r="U449" i="24"/>
  <c r="V449" i="24" s="1"/>
  <c r="U448" i="24"/>
  <c r="V448" i="24" s="1"/>
  <c r="U447" i="24"/>
  <c r="V447" i="24" s="1"/>
  <c r="U446" i="24"/>
  <c r="V446" i="24" s="1"/>
  <c r="U445" i="24"/>
  <c r="V445" i="24" s="1"/>
  <c r="U444" i="24"/>
  <c r="V444" i="24" s="1"/>
  <c r="U443" i="24"/>
  <c r="V443" i="24" s="1"/>
  <c r="X418" i="24"/>
  <c r="H431" i="24"/>
  <c r="I431" i="24"/>
  <c r="J431" i="24"/>
  <c r="G431" i="24"/>
  <c r="C431" i="24"/>
  <c r="D431" i="24"/>
  <c r="D432" i="24"/>
  <c r="E431" i="24"/>
  <c r="F431" i="24" s="1"/>
  <c r="K430" i="24"/>
  <c r="L430" i="24" s="1"/>
  <c r="G430" i="24"/>
  <c r="F430" i="24"/>
  <c r="K429" i="24"/>
  <c r="L429" i="24" s="1"/>
  <c r="G429" i="24"/>
  <c r="F429" i="24"/>
  <c r="K428" i="24"/>
  <c r="L428" i="24" s="1"/>
  <c r="G428" i="24"/>
  <c r="F428" i="24"/>
  <c r="K427" i="24"/>
  <c r="L427" i="24" s="1"/>
  <c r="G427" i="24"/>
  <c r="F427" i="24"/>
  <c r="K426" i="24"/>
  <c r="L426" i="24" s="1"/>
  <c r="G426" i="24"/>
  <c r="F426" i="24"/>
  <c r="K425" i="24"/>
  <c r="L425" i="24" s="1"/>
  <c r="G425" i="24"/>
  <c r="F425" i="24"/>
  <c r="P422" i="24"/>
  <c r="Q422" i="24" s="1"/>
  <c r="K422" i="24"/>
  <c r="L422" i="24" s="1"/>
  <c r="K421" i="24"/>
  <c r="L421" i="24" s="1"/>
  <c r="K420" i="24"/>
  <c r="L420" i="24" s="1"/>
  <c r="K419" i="24"/>
  <c r="L419" i="24" s="1"/>
  <c r="K418" i="24"/>
  <c r="L418" i="24" s="1"/>
  <c r="K417" i="24"/>
  <c r="L417" i="24" s="1"/>
  <c r="K416" i="24"/>
  <c r="L416" i="24" s="1"/>
  <c r="K415" i="24"/>
  <c r="L415" i="24" s="1"/>
  <c r="K414" i="24"/>
  <c r="L414" i="24" s="1"/>
  <c r="K413" i="24"/>
  <c r="L413" i="24" s="1"/>
  <c r="K412" i="24"/>
  <c r="L412" i="24" s="1"/>
  <c r="K411" i="24"/>
  <c r="L411" i="24" s="1"/>
  <c r="K410" i="24"/>
  <c r="L410" i="24" s="1"/>
  <c r="K409" i="24"/>
  <c r="L409" i="24" s="1"/>
  <c r="M465" i="24"/>
  <c r="N465" i="24"/>
  <c r="O465" i="24"/>
  <c r="O466" i="24" s="1"/>
  <c r="P464" i="24"/>
  <c r="Q464" i="24" s="1"/>
  <c r="P463" i="24"/>
  <c r="Q463" i="24" s="1"/>
  <c r="P462" i="24"/>
  <c r="Q462" i="24" s="1"/>
  <c r="P461" i="24"/>
  <c r="Q461" i="24" s="1"/>
  <c r="P460" i="24"/>
  <c r="Q460" i="24" s="1"/>
  <c r="P459" i="24"/>
  <c r="Q459" i="24" s="1"/>
  <c r="N457" i="24"/>
  <c r="N466" i="24" s="1"/>
  <c r="O457" i="24"/>
  <c r="P456" i="24"/>
  <c r="Q456" i="24" s="1"/>
  <c r="P455" i="24"/>
  <c r="Q455" i="24" s="1"/>
  <c r="P454" i="24"/>
  <c r="Q454" i="24" s="1"/>
  <c r="P453" i="24"/>
  <c r="Q453" i="24" s="1"/>
  <c r="P452" i="24"/>
  <c r="Q452" i="24" s="1"/>
  <c r="P451" i="24"/>
  <c r="Q451" i="24" s="1"/>
  <c r="P450" i="24"/>
  <c r="Q450" i="24" s="1"/>
  <c r="P449" i="24"/>
  <c r="Q449" i="24" s="1"/>
  <c r="P448" i="24"/>
  <c r="Q448" i="24" s="1"/>
  <c r="P447" i="24"/>
  <c r="Q447" i="24" s="1"/>
  <c r="P446" i="24"/>
  <c r="Q446" i="24" s="1"/>
  <c r="P445" i="24"/>
  <c r="Q445" i="24" s="1"/>
  <c r="P444" i="24"/>
  <c r="Q444" i="24" s="1"/>
  <c r="P443" i="24"/>
  <c r="Q443" i="24" s="1"/>
  <c r="H465" i="24"/>
  <c r="H466" i="24" s="1"/>
  <c r="K466" i="24" s="1"/>
  <c r="I465" i="24"/>
  <c r="J465" i="24"/>
  <c r="K464" i="24"/>
  <c r="L464" i="24"/>
  <c r="K463" i="24"/>
  <c r="L463" i="24" s="1"/>
  <c r="K462" i="24"/>
  <c r="L462" i="24" s="1"/>
  <c r="K461" i="24"/>
  <c r="L461" i="24" s="1"/>
  <c r="K460" i="24"/>
  <c r="L460" i="24" s="1"/>
  <c r="K459" i="24"/>
  <c r="L459" i="24" s="1"/>
  <c r="H457" i="24"/>
  <c r="I457" i="24"/>
  <c r="I466" i="24" s="1"/>
  <c r="J457" i="24"/>
  <c r="K456" i="24"/>
  <c r="L456" i="24" s="1"/>
  <c r="K455" i="24"/>
  <c r="L455" i="24" s="1"/>
  <c r="K454" i="24"/>
  <c r="L454" i="24" s="1"/>
  <c r="K453" i="24"/>
  <c r="L453" i="24" s="1"/>
  <c r="K452" i="24"/>
  <c r="L452" i="24" s="1"/>
  <c r="K451" i="24"/>
  <c r="L451" i="24" s="1"/>
  <c r="K450" i="24"/>
  <c r="L450" i="24" s="1"/>
  <c r="K449" i="24"/>
  <c r="L449" i="24" s="1"/>
  <c r="K448" i="24"/>
  <c r="L448" i="24" s="1"/>
  <c r="K447" i="24"/>
  <c r="L447" i="24" s="1"/>
  <c r="K446" i="24"/>
  <c r="L446" i="24" s="1"/>
  <c r="K445" i="24"/>
  <c r="L445" i="24" s="1"/>
  <c r="K444" i="24"/>
  <c r="L444" i="24" s="1"/>
  <c r="K443" i="24"/>
  <c r="L443" i="24" s="1"/>
  <c r="L483" i="24"/>
  <c r="L481" i="24"/>
  <c r="G489" i="24"/>
  <c r="G490" i="24"/>
  <c r="G491" i="24"/>
  <c r="G492" i="24"/>
  <c r="G493" i="24"/>
  <c r="G494" i="24"/>
  <c r="G495" i="24"/>
  <c r="L493" i="24"/>
  <c r="X495" i="24"/>
  <c r="X494" i="24"/>
  <c r="X493" i="24"/>
  <c r="X492" i="24"/>
  <c r="X491" i="24"/>
  <c r="X490" i="24"/>
  <c r="X489" i="24"/>
  <c r="O31" i="26" s="1"/>
  <c r="X486" i="24"/>
  <c r="X485" i="24"/>
  <c r="X484" i="24"/>
  <c r="X483" i="24"/>
  <c r="X482" i="24"/>
  <c r="X481" i="24"/>
  <c r="X480" i="24"/>
  <c r="X479" i="24"/>
  <c r="X478" i="24"/>
  <c r="X477" i="24"/>
  <c r="X476" i="24"/>
  <c r="X475" i="24"/>
  <c r="X474" i="24"/>
  <c r="V474" i="24"/>
  <c r="V475" i="24"/>
  <c r="V476" i="24"/>
  <c r="V477" i="24"/>
  <c r="V478" i="24"/>
  <c r="V479" i="24"/>
  <c r="V480" i="24"/>
  <c r="V481" i="24"/>
  <c r="V482" i="24"/>
  <c r="V483" i="24"/>
  <c r="V484" i="24"/>
  <c r="V485" i="24"/>
  <c r="V486" i="24"/>
  <c r="F457" i="24"/>
  <c r="C465" i="24"/>
  <c r="C466" i="24" s="1"/>
  <c r="D465" i="24"/>
  <c r="D466" i="24" s="1"/>
  <c r="E465" i="24"/>
  <c r="E466" i="24" s="1"/>
  <c r="V496" i="24"/>
  <c r="V495" i="24"/>
  <c r="V494" i="24"/>
  <c r="V493" i="24"/>
  <c r="V492" i="24"/>
  <c r="V491" i="24"/>
  <c r="V490" i="24"/>
  <c r="V489" i="24"/>
  <c r="Q496" i="24"/>
  <c r="Q495" i="24"/>
  <c r="Q494" i="24"/>
  <c r="Q493" i="24"/>
  <c r="Q492" i="24"/>
  <c r="Q491" i="24"/>
  <c r="Q490" i="24"/>
  <c r="Q489" i="24"/>
  <c r="Q487" i="24"/>
  <c r="Q497" i="24" s="1"/>
  <c r="Q486" i="24"/>
  <c r="Q485" i="24"/>
  <c r="Q484" i="24"/>
  <c r="Q483" i="24"/>
  <c r="Q482" i="24"/>
  <c r="Q481" i="24"/>
  <c r="Q480" i="24"/>
  <c r="Q479" i="24"/>
  <c r="Q478" i="24"/>
  <c r="Q477" i="24"/>
  <c r="Q476" i="24"/>
  <c r="Q475" i="24"/>
  <c r="Q474" i="24"/>
  <c r="L496" i="24"/>
  <c r="L497" i="24" s="1"/>
  <c r="L495" i="24"/>
  <c r="L494" i="24"/>
  <c r="L492" i="24"/>
  <c r="L491" i="24"/>
  <c r="L490" i="24"/>
  <c r="L489" i="24"/>
  <c r="L487" i="24"/>
  <c r="L486" i="24"/>
  <c r="L485" i="24"/>
  <c r="L484" i="24"/>
  <c r="L482" i="24"/>
  <c r="L480" i="24"/>
  <c r="L479" i="24"/>
  <c r="L478" i="24"/>
  <c r="L477" i="24"/>
  <c r="L476" i="24"/>
  <c r="L475" i="24"/>
  <c r="L474" i="24"/>
  <c r="G487" i="24"/>
  <c r="G486" i="24"/>
  <c r="G485" i="24"/>
  <c r="G484" i="24"/>
  <c r="G483" i="24"/>
  <c r="G482" i="24"/>
  <c r="G481" i="24"/>
  <c r="G480" i="24"/>
  <c r="G479" i="24"/>
  <c r="G478" i="24"/>
  <c r="G477" i="24"/>
  <c r="G476" i="24"/>
  <c r="G475" i="24"/>
  <c r="G474" i="24"/>
  <c r="G465" i="24"/>
  <c r="G452" i="24"/>
  <c r="G464" i="24"/>
  <c r="G463" i="24"/>
  <c r="G462" i="24"/>
  <c r="G461" i="24"/>
  <c r="G460" i="24"/>
  <c r="G459" i="24"/>
  <c r="G457" i="24"/>
  <c r="G466" i="24" s="1"/>
  <c r="G455" i="24"/>
  <c r="G454" i="24"/>
  <c r="G453" i="24"/>
  <c r="G451" i="24"/>
  <c r="G450" i="24"/>
  <c r="G449" i="24"/>
  <c r="G448" i="24"/>
  <c r="G447" i="24"/>
  <c r="G446" i="24"/>
  <c r="G445" i="24"/>
  <c r="G444" i="24"/>
  <c r="G443" i="24"/>
  <c r="F456" i="24"/>
  <c r="G456" i="24" s="1"/>
  <c r="W474" i="24"/>
  <c r="W475" i="24"/>
  <c r="W476" i="24"/>
  <c r="W477" i="24"/>
  <c r="W478" i="24"/>
  <c r="W479" i="24"/>
  <c r="W480" i="24"/>
  <c r="W481" i="24"/>
  <c r="W482" i="24"/>
  <c r="W483" i="24"/>
  <c r="W484" i="24"/>
  <c r="W485" i="24"/>
  <c r="W486" i="24"/>
  <c r="W489" i="24"/>
  <c r="W490" i="24"/>
  <c r="W491" i="24"/>
  <c r="W492" i="24"/>
  <c r="W493" i="24"/>
  <c r="W494" i="24"/>
  <c r="W495" i="24"/>
  <c r="T487" i="24"/>
  <c r="S487" i="24"/>
  <c r="O487" i="24"/>
  <c r="R496" i="24"/>
  <c r="R497" i="24" s="1"/>
  <c r="S496" i="24"/>
  <c r="T496" i="24"/>
  <c r="M496" i="24"/>
  <c r="N496" i="24"/>
  <c r="O496" i="24"/>
  <c r="O497" i="24" s="1"/>
  <c r="H496" i="24"/>
  <c r="H497" i="24" s="1"/>
  <c r="I496" i="24"/>
  <c r="I497" i="24" s="1"/>
  <c r="J496" i="24"/>
  <c r="J497" i="24" s="1"/>
  <c r="C496" i="24"/>
  <c r="C497" i="24" s="1"/>
  <c r="D496" i="24"/>
  <c r="D497" i="24" s="1"/>
  <c r="E496" i="24"/>
  <c r="E497" i="24" s="1"/>
  <c r="U495" i="24"/>
  <c r="P495" i="24"/>
  <c r="K495" i="24"/>
  <c r="F495" i="24"/>
  <c r="U494" i="24"/>
  <c r="P494" i="24"/>
  <c r="K494" i="24"/>
  <c r="F494" i="24"/>
  <c r="U493" i="24"/>
  <c r="P493" i="24"/>
  <c r="F493" i="24"/>
  <c r="U492" i="24"/>
  <c r="P492" i="24"/>
  <c r="K492" i="24"/>
  <c r="U491" i="24"/>
  <c r="P491" i="24"/>
  <c r="K491" i="24"/>
  <c r="F491" i="24"/>
  <c r="U490" i="24"/>
  <c r="P490" i="24"/>
  <c r="K490" i="24"/>
  <c r="F490" i="24"/>
  <c r="U489" i="24"/>
  <c r="P489" i="24"/>
  <c r="K489" i="24"/>
  <c r="K487" i="24"/>
  <c r="F487" i="24"/>
  <c r="U486" i="24"/>
  <c r="P486" i="24"/>
  <c r="K486" i="24"/>
  <c r="F486" i="24"/>
  <c r="U485" i="24"/>
  <c r="P485" i="24"/>
  <c r="K485" i="24"/>
  <c r="F485" i="24"/>
  <c r="U484" i="24"/>
  <c r="P484" i="24"/>
  <c r="K484" i="24"/>
  <c r="F484" i="24"/>
  <c r="U483" i="24"/>
  <c r="P483" i="24"/>
  <c r="F483" i="24"/>
  <c r="U482" i="24"/>
  <c r="P482" i="24"/>
  <c r="K482" i="24"/>
  <c r="F482" i="24"/>
  <c r="U481" i="24"/>
  <c r="P481" i="24"/>
  <c r="F481" i="24"/>
  <c r="U480" i="24"/>
  <c r="P480" i="24"/>
  <c r="K480" i="24"/>
  <c r="F480" i="24"/>
  <c r="U479" i="24"/>
  <c r="P479" i="24"/>
  <c r="K479" i="24"/>
  <c r="F479" i="24"/>
  <c r="U478" i="24"/>
  <c r="P478" i="24"/>
  <c r="K478" i="24"/>
  <c r="F478" i="24"/>
  <c r="U477" i="24"/>
  <c r="P477" i="24"/>
  <c r="K477" i="24"/>
  <c r="F477" i="24"/>
  <c r="U476" i="24"/>
  <c r="P476" i="24"/>
  <c r="K476" i="24"/>
  <c r="F476" i="24"/>
  <c r="U475" i="24"/>
  <c r="P475" i="24"/>
  <c r="K475" i="24"/>
  <c r="F475" i="24"/>
  <c r="U474" i="24"/>
  <c r="P474" i="24"/>
  <c r="K474" i="24"/>
  <c r="F474" i="24"/>
  <c r="F452" i="24"/>
  <c r="F464" i="24"/>
  <c r="F463" i="24"/>
  <c r="F462" i="24"/>
  <c r="F461" i="24"/>
  <c r="F460" i="24"/>
  <c r="F459" i="24"/>
  <c r="F455" i="24"/>
  <c r="F454" i="24"/>
  <c r="F453" i="24"/>
  <c r="F451" i="24"/>
  <c r="F450" i="24"/>
  <c r="F449" i="24"/>
  <c r="F448" i="24"/>
  <c r="F447" i="24"/>
  <c r="F446" i="24"/>
  <c r="F445" i="24"/>
  <c r="F444" i="24"/>
  <c r="F443" i="24"/>
  <c r="X462" i="24"/>
  <c r="C282" i="24"/>
  <c r="F237" i="24"/>
  <c r="G237" i="24" s="1"/>
  <c r="I243" i="24"/>
  <c r="M243" i="24"/>
  <c r="M252" i="24" s="1"/>
  <c r="X251" i="24"/>
  <c r="H139" i="1"/>
  <c r="AD18" i="23"/>
  <c r="J372" i="24"/>
  <c r="N372" i="24"/>
  <c r="S372" i="24"/>
  <c r="U303" i="24"/>
  <c r="V303" i="24" s="1"/>
  <c r="M312" i="24"/>
  <c r="K240" i="24"/>
  <c r="L240" i="24" s="1"/>
  <c r="J243" i="24"/>
  <c r="J252" i="24" s="1"/>
  <c r="R243" i="24"/>
  <c r="R372" i="24"/>
  <c r="C342" i="24"/>
  <c r="D372" i="24"/>
  <c r="F371" i="24"/>
  <c r="G371" i="24" s="1"/>
  <c r="U363" i="24"/>
  <c r="V363" i="24" s="1"/>
  <c r="F363" i="24"/>
  <c r="G363" i="24" s="1"/>
  <c r="R342" i="24"/>
  <c r="U311" i="24"/>
  <c r="V311" i="24" s="1"/>
  <c r="E312" i="24"/>
  <c r="F273" i="24"/>
  <c r="G273" i="24" s="1"/>
  <c r="X281" i="24"/>
  <c r="H273" i="24"/>
  <c r="P208" i="24"/>
  <c r="Q208" i="24" s="1"/>
  <c r="S222" i="24"/>
  <c r="F208" i="24"/>
  <c r="G208" i="24" s="1"/>
  <c r="AI9" i="23"/>
  <c r="AI5" i="23"/>
  <c r="AG18" i="23"/>
  <c r="R252" i="24"/>
  <c r="P487" i="24"/>
  <c r="R402" i="24"/>
  <c r="K363" i="24"/>
  <c r="L363" i="24" s="1"/>
  <c r="U371" i="24"/>
  <c r="V371" i="24" s="1"/>
  <c r="X308" i="24"/>
  <c r="U208" i="24"/>
  <c r="V208" i="24" s="1"/>
  <c r="R214" i="24"/>
  <c r="R223" i="24" s="1"/>
  <c r="K208" i="24"/>
  <c r="L208" i="24" s="1"/>
  <c r="H214" i="24"/>
  <c r="P237" i="24"/>
  <c r="Q237" i="24" s="1"/>
  <c r="U211" i="24"/>
  <c r="V211" i="24" s="1"/>
  <c r="S214" i="24"/>
  <c r="O432" i="24"/>
  <c r="N497" i="24"/>
  <c r="J466" i="24"/>
  <c r="T372" i="24"/>
  <c r="U341" i="24"/>
  <c r="V341" i="24" s="1"/>
  <c r="X306" i="24"/>
  <c r="S312" i="24"/>
  <c r="P303" i="24"/>
  <c r="Q303" i="24" s="1"/>
  <c r="E282" i="24"/>
  <c r="T222" i="24"/>
  <c r="J222" i="24"/>
  <c r="U217" i="24"/>
  <c r="V217" i="24" s="1"/>
  <c r="C182" i="24"/>
  <c r="I182" i="24"/>
  <c r="I191" i="24" s="1"/>
  <c r="O182" i="24"/>
  <c r="K185" i="24"/>
  <c r="L185" i="24" s="1"/>
  <c r="C190" i="24"/>
  <c r="C191" i="24" s="1"/>
  <c r="P176" i="24"/>
  <c r="Q176" i="24" s="1"/>
  <c r="P185" i="24"/>
  <c r="Q185" i="24" s="1"/>
  <c r="M466" i="24"/>
  <c r="M342" i="24"/>
  <c r="T214" i="24"/>
  <c r="N214" i="24"/>
  <c r="K251" i="24"/>
  <c r="L251" i="24" s="1"/>
  <c r="U251" i="24"/>
  <c r="V251" i="24" s="1"/>
  <c r="AL16" i="23"/>
  <c r="AL7" i="23"/>
  <c r="AL3" i="23"/>
  <c r="M182" i="24"/>
  <c r="M191" i="24" s="1"/>
  <c r="S182" i="24"/>
  <c r="S191" i="24" s="1"/>
  <c r="K176" i="24"/>
  <c r="L176" i="24" s="1"/>
  <c r="D190" i="24"/>
  <c r="F145" i="24"/>
  <c r="G145" i="24" s="1"/>
  <c r="U154" i="24"/>
  <c r="V154" i="24" s="1"/>
  <c r="O159" i="24"/>
  <c r="P159" i="24" s="1"/>
  <c r="Q159" i="24" s="1"/>
  <c r="K145" i="24"/>
  <c r="L145" i="24" s="1"/>
  <c r="I18" i="12"/>
  <c r="J18" i="12"/>
  <c r="J27" i="12" s="1"/>
  <c r="N20" i="12"/>
  <c r="AR8" i="23"/>
  <c r="AR6" i="23"/>
  <c r="AR10" i="23"/>
  <c r="AR9" i="23"/>
  <c r="AR16" i="23"/>
  <c r="AR15" i="23"/>
  <c r="AR7" i="23"/>
  <c r="AR5" i="23"/>
  <c r="AR11" i="23"/>
  <c r="G60" i="10"/>
  <c r="B19" i="18"/>
  <c r="N223" i="24" l="1"/>
  <c r="J432" i="24"/>
  <c r="P270" i="24"/>
  <c r="Q270" i="24" s="1"/>
  <c r="M214" i="24"/>
  <c r="G372" i="24"/>
  <c r="F333" i="24"/>
  <c r="G333" i="24" s="1"/>
  <c r="W240" i="24"/>
  <c r="X240" i="24" s="1"/>
  <c r="AH15" i="23" s="1"/>
  <c r="AI15" i="23" s="1"/>
  <c r="W496" i="24"/>
  <c r="P465" i="24"/>
  <c r="Q465" i="24" s="1"/>
  <c r="M372" i="24"/>
  <c r="P372" i="24" s="1"/>
  <c r="O312" i="24"/>
  <c r="H243" i="24"/>
  <c r="H252" i="24" s="1"/>
  <c r="O214" i="24"/>
  <c r="O223" i="24" s="1"/>
  <c r="S151" i="24"/>
  <c r="J214" i="24"/>
  <c r="J223" i="24" s="1"/>
  <c r="K496" i="24"/>
  <c r="C214" i="24"/>
  <c r="S273" i="24"/>
  <c r="S282" i="24" s="1"/>
  <c r="H402" i="24"/>
  <c r="K402" i="24" s="1"/>
  <c r="P496" i="24"/>
  <c r="V487" i="24"/>
  <c r="V497" i="24" s="1"/>
  <c r="G496" i="24"/>
  <c r="G497" i="24" s="1"/>
  <c r="C372" i="24"/>
  <c r="D243" i="24"/>
  <c r="D252" i="24" s="1"/>
  <c r="F19" i="11"/>
  <c r="C8" i="16" s="1"/>
  <c r="D8" i="16" s="1"/>
  <c r="F8" i="16" s="1"/>
  <c r="G8" i="16" s="1"/>
  <c r="F35" i="16" s="1"/>
  <c r="H62" i="21"/>
  <c r="K217" i="24"/>
  <c r="L217" i="24" s="1"/>
  <c r="J182" i="24"/>
  <c r="J191" i="24" s="1"/>
  <c r="G225" i="1"/>
  <c r="E432" i="24"/>
  <c r="F281" i="24"/>
  <c r="G281" i="24" s="1"/>
  <c r="T497" i="24"/>
  <c r="X311" i="24"/>
  <c r="M273" i="24"/>
  <c r="M282" i="24" s="1"/>
  <c r="F159" i="24"/>
  <c r="G159" i="24" s="1"/>
  <c r="W270" i="24"/>
  <c r="X270" i="24" s="1"/>
  <c r="AE15" i="23" s="1"/>
  <c r="AF15" i="23" s="1"/>
  <c r="M222" i="24"/>
  <c r="O191" i="24"/>
  <c r="S342" i="24"/>
  <c r="U342" i="24" s="1"/>
  <c r="U179" i="24"/>
  <c r="V179" i="24" s="1"/>
  <c r="U159" i="24"/>
  <c r="V159" i="24" s="1"/>
  <c r="W176" i="24"/>
  <c r="X176" i="24" s="1"/>
  <c r="X182" i="24" s="1"/>
  <c r="X191" i="24" s="1"/>
  <c r="U487" i="24"/>
  <c r="K270" i="24"/>
  <c r="L270" i="24" s="1"/>
  <c r="F211" i="24"/>
  <c r="G211" i="24" s="1"/>
  <c r="U148" i="24"/>
  <c r="V148" i="24" s="1"/>
  <c r="W267" i="24"/>
  <c r="X267" i="24" s="1"/>
  <c r="AE11" i="23" s="1"/>
  <c r="AF11" i="23" s="1"/>
  <c r="Q312" i="24"/>
  <c r="H182" i="24"/>
  <c r="K182" i="24" s="1"/>
  <c r="L182" i="24" s="1"/>
  <c r="L191" i="24" s="1"/>
  <c r="AH2" i="23"/>
  <c r="AI2" i="23" s="1"/>
  <c r="U240" i="24"/>
  <c r="V240" i="24" s="1"/>
  <c r="W251" i="24"/>
  <c r="T432" i="24"/>
  <c r="O243" i="24"/>
  <c r="O252" i="24" s="1"/>
  <c r="W281" i="24"/>
  <c r="S223" i="24"/>
  <c r="O402" i="24"/>
  <c r="T342" i="24"/>
  <c r="I214" i="24"/>
  <c r="M151" i="24"/>
  <c r="M160" i="24" s="1"/>
  <c r="F15" i="11"/>
  <c r="D10" i="16" s="1"/>
  <c r="F10" i="16" s="1"/>
  <c r="G423" i="24"/>
  <c r="G432" i="24" s="1"/>
  <c r="F432" i="24"/>
  <c r="H94" i="21"/>
  <c r="F26" i="11"/>
  <c r="K465" i="24"/>
  <c r="L465" i="24" s="1"/>
  <c r="F496" i="24"/>
  <c r="U214" i="24"/>
  <c r="V214" i="24" s="1"/>
  <c r="J273" i="24"/>
  <c r="J282" i="24" s="1"/>
  <c r="W431" i="24"/>
  <c r="P457" i="24"/>
  <c r="Q457" i="24" s="1"/>
  <c r="W185" i="24"/>
  <c r="I273" i="24"/>
  <c r="I282" i="24" s="1"/>
  <c r="G282" i="24"/>
  <c r="O273" i="24"/>
  <c r="O282" i="24" s="1"/>
  <c r="P312" i="24"/>
  <c r="X487" i="24"/>
  <c r="K457" i="24"/>
  <c r="L457" i="24" s="1"/>
  <c r="I222" i="24"/>
  <c r="I223" i="24" s="1"/>
  <c r="V89" i="24"/>
  <c r="W89" i="24" s="1"/>
  <c r="D191" i="24"/>
  <c r="D182" i="24"/>
  <c r="F182" i="24" s="1"/>
  <c r="F465" i="24"/>
  <c r="F466" i="24" s="1"/>
  <c r="T223" i="24"/>
  <c r="F179" i="24"/>
  <c r="G179" i="24" s="1"/>
  <c r="R182" i="24"/>
  <c r="R191" i="24" s="1"/>
  <c r="K431" i="24"/>
  <c r="L431" i="24" s="1"/>
  <c r="L432" i="24" s="1"/>
  <c r="W217" i="24"/>
  <c r="X217" i="24" s="1"/>
  <c r="X222" i="24" s="1"/>
  <c r="V372" i="24"/>
  <c r="N243" i="24"/>
  <c r="N252" i="24" s="1"/>
  <c r="C432" i="24"/>
  <c r="R466" i="24"/>
  <c r="U466" i="24" s="1"/>
  <c r="X457" i="24"/>
  <c r="X423" i="24"/>
  <c r="X363" i="24"/>
  <c r="E252" i="24"/>
  <c r="Q81" i="24"/>
  <c r="R81" i="24" s="1"/>
  <c r="R90" i="24" s="1"/>
  <c r="U496" i="24"/>
  <c r="W211" i="24"/>
  <c r="X211" i="24" s="1"/>
  <c r="U372" i="24"/>
  <c r="P401" i="24"/>
  <c r="Q401" i="24" s="1"/>
  <c r="I372" i="24"/>
  <c r="K372" i="24" s="1"/>
  <c r="X303" i="24"/>
  <c r="X312" i="24" s="1"/>
  <c r="U270" i="24"/>
  <c r="V270" i="24" s="1"/>
  <c r="C243" i="24"/>
  <c r="C252" i="24" s="1"/>
  <c r="F90" i="24"/>
  <c r="K371" i="24"/>
  <c r="L371" i="24" s="1"/>
  <c r="L372" i="24" s="1"/>
  <c r="J342" i="24"/>
  <c r="F341" i="24"/>
  <c r="P333" i="24"/>
  <c r="Q333" i="24" s="1"/>
  <c r="S252" i="24"/>
  <c r="F21" i="8"/>
  <c r="F31" i="8" s="1"/>
  <c r="C151" i="24"/>
  <c r="C160" i="24" s="1"/>
  <c r="N11" i="26"/>
  <c r="W393" i="24"/>
  <c r="P341" i="24"/>
  <c r="Q341" i="24" s="1"/>
  <c r="Q342" i="24" s="1"/>
  <c r="R312" i="24"/>
  <c r="U312" i="24" s="1"/>
  <c r="K281" i="24"/>
  <c r="L281" i="24" s="1"/>
  <c r="R273" i="24"/>
  <c r="U273" i="24" s="1"/>
  <c r="V273" i="24" s="1"/>
  <c r="V282" i="24" s="1"/>
  <c r="K237" i="24"/>
  <c r="L237" i="24" s="1"/>
  <c r="P222" i="24"/>
  <c r="Q222" i="24" s="1"/>
  <c r="F217" i="24"/>
  <c r="G217" i="24" s="1"/>
  <c r="Q90" i="24"/>
  <c r="G226" i="1"/>
  <c r="W372" i="24"/>
  <c r="X431" i="24"/>
  <c r="E151" i="24"/>
  <c r="E160" i="24" s="1"/>
  <c r="W148" i="24"/>
  <c r="X148" i="24" s="1"/>
  <c r="U457" i="24"/>
  <c r="V457" i="24" s="1"/>
  <c r="N402" i="24"/>
  <c r="V342" i="24"/>
  <c r="X243" i="24"/>
  <c r="X252" i="24" s="1"/>
  <c r="AH11" i="23"/>
  <c r="AI11" i="23" s="1"/>
  <c r="X393" i="24"/>
  <c r="S432" i="24"/>
  <c r="W371" i="24"/>
  <c r="X366" i="24"/>
  <c r="X371" i="24" s="1"/>
  <c r="G182" i="24"/>
  <c r="Y81" i="24"/>
  <c r="H191" i="24"/>
  <c r="E191" i="24"/>
  <c r="F372" i="24"/>
  <c r="U393" i="24"/>
  <c r="V393" i="24" s="1"/>
  <c r="V402" i="24" s="1"/>
  <c r="T402" i="24"/>
  <c r="U402" i="24" s="1"/>
  <c r="X333" i="24"/>
  <c r="AE3" i="23"/>
  <c r="AF3" i="23" s="1"/>
  <c r="D38" i="6"/>
  <c r="H15" i="19" s="1"/>
  <c r="T243" i="24"/>
  <c r="U237" i="24"/>
  <c r="V237" i="24" s="1"/>
  <c r="X185" i="24"/>
  <c r="X190" i="24" s="1"/>
  <c r="W190" i="24"/>
  <c r="C223" i="24"/>
  <c r="F214" i="24"/>
  <c r="G214" i="24" s="1"/>
  <c r="F401" i="24"/>
  <c r="G401" i="24" s="1"/>
  <c r="D402" i="24"/>
  <c r="W402" i="24"/>
  <c r="K311" i="24"/>
  <c r="L311" i="24" s="1"/>
  <c r="H312" i="24"/>
  <c r="K303" i="24"/>
  <c r="L303" i="24" s="1"/>
  <c r="I312" i="24"/>
  <c r="W303" i="24"/>
  <c r="T151" i="24"/>
  <c r="T160" i="24" s="1"/>
  <c r="W145" i="24"/>
  <c r="X145" i="24" s="1"/>
  <c r="F190" i="24"/>
  <c r="G190" i="24" s="1"/>
  <c r="F393" i="24"/>
  <c r="H223" i="24"/>
  <c r="K214" i="24"/>
  <c r="L214" i="24" s="1"/>
  <c r="H282" i="24"/>
  <c r="K282" i="24" s="1"/>
  <c r="K273" i="24"/>
  <c r="L273" i="24" s="1"/>
  <c r="L282" i="24" s="1"/>
  <c r="K243" i="24"/>
  <c r="L243" i="24" s="1"/>
  <c r="L252" i="24" s="1"/>
  <c r="I252" i="24"/>
  <c r="K252" i="24" s="1"/>
  <c r="X463" i="24"/>
  <c r="X465" i="24" s="1"/>
  <c r="W465" i="24"/>
  <c r="W466" i="24" s="1"/>
  <c r="K423" i="24"/>
  <c r="L423" i="24" s="1"/>
  <c r="W423" i="24"/>
  <c r="I432" i="24"/>
  <c r="K432" i="24" s="1"/>
  <c r="P431" i="24"/>
  <c r="Q431" i="24" s="1"/>
  <c r="M432" i="24"/>
  <c r="M402" i="24"/>
  <c r="P402" i="24" s="1"/>
  <c r="P393" i="24"/>
  <c r="Q393" i="24" s="1"/>
  <c r="Q402" i="24" s="1"/>
  <c r="X396" i="24"/>
  <c r="X401" i="24" s="1"/>
  <c r="W401" i="24"/>
  <c r="G341" i="24"/>
  <c r="G342" i="24" s="1"/>
  <c r="F342" i="24"/>
  <c r="X336" i="24"/>
  <c r="X341" i="24" s="1"/>
  <c r="W341" i="24"/>
  <c r="W333" i="24"/>
  <c r="K333" i="24"/>
  <c r="L333" i="24" s="1"/>
  <c r="L342" i="24" s="1"/>
  <c r="F148" i="24"/>
  <c r="G148" i="24" s="1"/>
  <c r="X89" i="24"/>
  <c r="Y83" i="24"/>
  <c r="I27" i="12"/>
  <c r="P466" i="24"/>
  <c r="Q466" i="24"/>
  <c r="P243" i="24"/>
  <c r="Q243" i="24" s="1"/>
  <c r="U465" i="24"/>
  <c r="V465" i="24" s="1"/>
  <c r="K401" i="24"/>
  <c r="L401" i="24" s="1"/>
  <c r="L402" i="24" s="1"/>
  <c r="U423" i="24"/>
  <c r="V423" i="24" s="1"/>
  <c r="U431" i="24"/>
  <c r="V431" i="24" s="1"/>
  <c r="P371" i="24"/>
  <c r="Q371" i="24" s="1"/>
  <c r="U222" i="24"/>
  <c r="V222" i="24" s="1"/>
  <c r="P273" i="24"/>
  <c r="Q273" i="24" s="1"/>
  <c r="Q282" i="24" s="1"/>
  <c r="V312" i="24"/>
  <c r="W487" i="24"/>
  <c r="W497" i="24" s="1"/>
  <c r="F185" i="24"/>
  <c r="G185" i="24" s="1"/>
  <c r="D151" i="24"/>
  <c r="U145" i="24"/>
  <c r="V145" i="24" s="1"/>
  <c r="P423" i="24"/>
  <c r="Q423" i="24" s="1"/>
  <c r="C402" i="24"/>
  <c r="P363" i="24"/>
  <c r="Q363" i="24" s="1"/>
  <c r="E372" i="24"/>
  <c r="N342" i="24"/>
  <c r="P342" i="24" s="1"/>
  <c r="D342" i="24"/>
  <c r="F311" i="24"/>
  <c r="X126" i="24"/>
  <c r="E402" i="24"/>
  <c r="H342" i="24"/>
  <c r="J312" i="24"/>
  <c r="N282" i="24"/>
  <c r="P282" i="24" s="1"/>
  <c r="R282" i="24"/>
  <c r="U282" i="24" s="1"/>
  <c r="F28" i="21"/>
  <c r="H28" i="21" s="1"/>
  <c r="R151" i="24"/>
  <c r="K148" i="24"/>
  <c r="L148" i="24" s="1"/>
  <c r="K159" i="24"/>
  <c r="L159" i="24" s="1"/>
  <c r="W311" i="24"/>
  <c r="P251" i="24"/>
  <c r="Q251" i="24" s="1"/>
  <c r="F222" i="24"/>
  <c r="G222" i="24" s="1"/>
  <c r="N182" i="24"/>
  <c r="N191" i="24" s="1"/>
  <c r="P191" i="24" s="1"/>
  <c r="T182" i="24"/>
  <c r="I151" i="24"/>
  <c r="S160" i="24"/>
  <c r="D312" i="24"/>
  <c r="K267" i="24"/>
  <c r="L267" i="24" s="1"/>
  <c r="E223" i="24"/>
  <c r="J151" i="24"/>
  <c r="J160" i="24" s="1"/>
  <c r="O151" i="24"/>
  <c r="P148" i="24"/>
  <c r="Q148" i="24" s="1"/>
  <c r="U117" i="24"/>
  <c r="V117" i="24" s="1"/>
  <c r="V126" i="24" s="1"/>
  <c r="R126" i="24"/>
  <c r="U126" i="24" s="1"/>
  <c r="F29" i="11"/>
  <c r="F28" i="11"/>
  <c r="C22" i="16" s="1"/>
  <c r="C27" i="16"/>
  <c r="AY2" i="23" s="1"/>
  <c r="H10" i="19"/>
  <c r="H207" i="1"/>
  <c r="H122" i="1"/>
  <c r="H173" i="1"/>
  <c r="H190" i="1"/>
  <c r="H71" i="1"/>
  <c r="H88" i="1"/>
  <c r="H11" i="19"/>
  <c r="F72" i="21"/>
  <c r="H72" i="21" s="1"/>
  <c r="F17" i="21"/>
  <c r="C19" i="16"/>
  <c r="E21" i="16"/>
  <c r="E24" i="16" s="1"/>
  <c r="F296" i="4"/>
  <c r="AY9" i="23"/>
  <c r="AY10" i="23"/>
  <c r="B18" i="6"/>
  <c r="C6" i="6"/>
  <c r="C18" i="6" s="1"/>
  <c r="D40" i="6" s="1"/>
  <c r="L26" i="12"/>
  <c r="V81" i="24"/>
  <c r="W81" i="24" s="1"/>
  <c r="S90" i="24"/>
  <c r="V90" i="24" s="1"/>
  <c r="X81" i="24"/>
  <c r="D90" i="24"/>
  <c r="G81" i="24"/>
  <c r="I90" i="24"/>
  <c r="L90" i="24" s="1"/>
  <c r="F126" i="24"/>
  <c r="G117" i="24"/>
  <c r="G126" i="24" s="1"/>
  <c r="D18" i="12"/>
  <c r="D27" i="12" s="1"/>
  <c r="M18" i="12"/>
  <c r="B26" i="12"/>
  <c r="B27" i="12" s="1"/>
  <c r="F26" i="12"/>
  <c r="H126" i="24"/>
  <c r="K126" i="24" s="1"/>
  <c r="K117" i="24"/>
  <c r="L117" i="24" s="1"/>
  <c r="L126" i="24" s="1"/>
  <c r="P117" i="24"/>
  <c r="Q117" i="24" s="1"/>
  <c r="Q126" i="24" s="1"/>
  <c r="M126" i="24"/>
  <c r="P126" i="24" s="1"/>
  <c r="G26" i="12"/>
  <c r="W117" i="24"/>
  <c r="W126" i="24" s="1"/>
  <c r="D126" i="24"/>
  <c r="C18" i="12"/>
  <c r="E18" i="12"/>
  <c r="L18" i="12"/>
  <c r="N14" i="12"/>
  <c r="O14" i="12" s="1"/>
  <c r="D37" i="16" s="1"/>
  <c r="AZ14" i="23" s="1"/>
  <c r="BA14" i="23" s="1"/>
  <c r="N13" i="12"/>
  <c r="O13" i="12" s="1"/>
  <c r="N11" i="12"/>
  <c r="O11" i="12" s="1"/>
  <c r="D34" i="16" s="1"/>
  <c r="AZ10" i="23" s="1"/>
  <c r="N10" i="12"/>
  <c r="O10" i="12" s="1"/>
  <c r="D33" i="16" s="1"/>
  <c r="AZ9" i="23" s="1"/>
  <c r="N8" i="12"/>
  <c r="O8" i="12" s="1"/>
  <c r="D31" i="16" s="1"/>
  <c r="AZ7" i="23" s="1"/>
  <c r="BA7" i="23" s="1"/>
  <c r="N6" i="12"/>
  <c r="O6" i="12" s="1"/>
  <c r="D29" i="16" s="1"/>
  <c r="AZ5" i="23" s="1"/>
  <c r="F18" i="12"/>
  <c r="N5" i="12"/>
  <c r="O5" i="12" s="1"/>
  <c r="D28" i="16" s="1"/>
  <c r="AZ3" i="23" s="1"/>
  <c r="N24" i="12"/>
  <c r="N23" i="12"/>
  <c r="O23" i="12" s="1"/>
  <c r="N21" i="12"/>
  <c r="O21" i="12" s="1"/>
  <c r="AZ8" i="23"/>
  <c r="BA6" i="23"/>
  <c r="E30" i="16"/>
  <c r="N19" i="26"/>
  <c r="E26" i="12"/>
  <c r="K26" i="12"/>
  <c r="N25" i="12"/>
  <c r="O25" i="12" s="1"/>
  <c r="O4" i="12"/>
  <c r="D27" i="16" s="1"/>
  <c r="M26" i="12"/>
  <c r="N22" i="12"/>
  <c r="O22" i="12" s="1"/>
  <c r="O20" i="12"/>
  <c r="C26" i="12"/>
  <c r="O15" i="26"/>
  <c r="AY12" i="23"/>
  <c r="X214" i="24"/>
  <c r="AK15" i="23"/>
  <c r="AL15" i="23" s="1"/>
  <c r="D223" i="24"/>
  <c r="W273" i="24"/>
  <c r="G393" i="24"/>
  <c r="G402" i="24" s="1"/>
  <c r="M497" i="24"/>
  <c r="P497" i="24" s="1"/>
  <c r="F282" i="24"/>
  <c r="F497" i="24"/>
  <c r="S497" i="24"/>
  <c r="U497" i="24" s="1"/>
  <c r="X496" i="24"/>
  <c r="AK2" i="23"/>
  <c r="N432" i="24"/>
  <c r="N160" i="24"/>
  <c r="F89" i="4"/>
  <c r="H89" i="4" s="1"/>
  <c r="U147" i="24"/>
  <c r="V147" i="24" s="1"/>
  <c r="P154" i="24"/>
  <c r="Q154" i="24" s="1"/>
  <c r="P145" i="24"/>
  <c r="Q145" i="24" s="1"/>
  <c r="W154" i="24"/>
  <c r="K154" i="24"/>
  <c r="L154" i="24" s="1"/>
  <c r="E17" i="2"/>
  <c r="E15" i="26"/>
  <c r="N15" i="26" s="1"/>
  <c r="H18" i="12"/>
  <c r="H27" i="12" s="1"/>
  <c r="X466" i="24" l="1"/>
  <c r="X273" i="24"/>
  <c r="X282" i="24" s="1"/>
  <c r="U432" i="24"/>
  <c r="L466" i="24"/>
  <c r="W90" i="24"/>
  <c r="P252" i="24"/>
  <c r="F402" i="24"/>
  <c r="K191" i="24"/>
  <c r="K222" i="24"/>
  <c r="L222" i="24" s="1"/>
  <c r="L223" i="24" s="1"/>
  <c r="W214" i="24"/>
  <c r="W223" i="24" s="1"/>
  <c r="W282" i="24"/>
  <c r="X151" i="24"/>
  <c r="P214" i="24"/>
  <c r="Q214" i="24" s="1"/>
  <c r="Q223" i="24" s="1"/>
  <c r="M223" i="24"/>
  <c r="P223" i="24" s="1"/>
  <c r="P432" i="24"/>
  <c r="U223" i="24"/>
  <c r="X432" i="24"/>
  <c r="F134" i="21"/>
  <c r="X497" i="24"/>
  <c r="F243" i="24"/>
  <c r="G243" i="24" s="1"/>
  <c r="G252" i="24" s="1"/>
  <c r="X372" i="24"/>
  <c r="V223" i="24"/>
  <c r="Q432" i="24"/>
  <c r="W342" i="24"/>
  <c r="G227" i="1"/>
  <c r="K342" i="24"/>
  <c r="G223" i="24"/>
  <c r="X223" i="24"/>
  <c r="H296" i="4"/>
  <c r="F660" i="4"/>
  <c r="K151" i="24"/>
  <c r="L151" i="24" s="1"/>
  <c r="L160" i="24" s="1"/>
  <c r="W432" i="24"/>
  <c r="L312" i="24"/>
  <c r="H133" i="21"/>
  <c r="H134" i="21" s="1"/>
  <c r="H136" i="21" s="1"/>
  <c r="AH18" i="23"/>
  <c r="W222" i="24"/>
  <c r="K223" i="24"/>
  <c r="H14" i="19"/>
  <c r="F30" i="11"/>
  <c r="AE18" i="23"/>
  <c r="U243" i="24"/>
  <c r="V243" i="24" s="1"/>
  <c r="V252" i="24" s="1"/>
  <c r="T252" i="24"/>
  <c r="U252" i="24" s="1"/>
  <c r="W243" i="24"/>
  <c r="W252" i="24" s="1"/>
  <c r="I160" i="24"/>
  <c r="K160" i="24" s="1"/>
  <c r="F223" i="24"/>
  <c r="X402" i="24"/>
  <c r="P182" i="24"/>
  <c r="Q182" i="24" s="1"/>
  <c r="Q191" i="24" s="1"/>
  <c r="X90" i="24"/>
  <c r="P151" i="24"/>
  <c r="Q151" i="24" s="1"/>
  <c r="Q160" i="24" s="1"/>
  <c r="O160" i="24"/>
  <c r="P160" i="24" s="1"/>
  <c r="R160" i="24"/>
  <c r="U160" i="24" s="1"/>
  <c r="U151" i="24"/>
  <c r="V151" i="24" s="1"/>
  <c r="V160" i="24" s="1"/>
  <c r="V432" i="24"/>
  <c r="Q252" i="24"/>
  <c r="K312" i="24"/>
  <c r="F252" i="24"/>
  <c r="X342" i="24"/>
  <c r="F191" i="24"/>
  <c r="V466" i="24"/>
  <c r="H17" i="21"/>
  <c r="F24" i="11"/>
  <c r="C15" i="16" s="1"/>
  <c r="W182" i="24"/>
  <c r="W191" i="24" s="1"/>
  <c r="T191" i="24"/>
  <c r="U191" i="24" s="1"/>
  <c r="U182" i="24"/>
  <c r="V182" i="24" s="1"/>
  <c r="V191" i="24" s="1"/>
  <c r="G311" i="24"/>
  <c r="G312" i="24" s="1"/>
  <c r="F312" i="24"/>
  <c r="Q372" i="24"/>
  <c r="D160" i="24"/>
  <c r="F151" i="24"/>
  <c r="W151" i="24"/>
  <c r="Y89" i="24"/>
  <c r="Y90" i="24" s="1"/>
  <c r="O11" i="26"/>
  <c r="W312" i="24"/>
  <c r="G191" i="24"/>
  <c r="C20" i="16"/>
  <c r="F22" i="11"/>
  <c r="C14" i="16" s="1"/>
  <c r="F13" i="11"/>
  <c r="C32" i="16"/>
  <c r="AY8" i="23" s="1"/>
  <c r="BA8" i="23" s="1"/>
  <c r="C28" i="16"/>
  <c r="C27" i="12"/>
  <c r="O24" i="12"/>
  <c r="O26" i="12" s="1"/>
  <c r="B39" i="18"/>
  <c r="B40" i="18" s="1"/>
  <c r="M27" i="12"/>
  <c r="G10" i="16"/>
  <c r="G35" i="16" s="1"/>
  <c r="C10" i="16"/>
  <c r="BA9" i="23"/>
  <c r="AY11" i="23"/>
  <c r="AY15" i="23"/>
  <c r="BA10" i="23"/>
  <c r="B26" i="18"/>
  <c r="D36" i="16"/>
  <c r="E27" i="12"/>
  <c r="L27" i="12"/>
  <c r="E34" i="16"/>
  <c r="B11" i="18"/>
  <c r="B12" i="18" s="1"/>
  <c r="G90" i="24"/>
  <c r="H81" i="24"/>
  <c r="H90" i="24" s="1"/>
  <c r="E37" i="16"/>
  <c r="B32" i="18"/>
  <c r="B33" i="18" s="1"/>
  <c r="F27" i="12"/>
  <c r="E31" i="16"/>
  <c r="E33" i="16"/>
  <c r="AZ2" i="23"/>
  <c r="BA2" i="23" s="1"/>
  <c r="E27" i="16"/>
  <c r="N26" i="12"/>
  <c r="N15" i="12"/>
  <c r="O15" i="12" s="1"/>
  <c r="D38" i="16" s="1"/>
  <c r="G18" i="12"/>
  <c r="G27" i="12" s="1"/>
  <c r="F53" i="11"/>
  <c r="AL2" i="23"/>
  <c r="AK18" i="23"/>
  <c r="K18" i="12"/>
  <c r="K27" i="12" s="1"/>
  <c r="W159" i="24"/>
  <c r="X154" i="24"/>
  <c r="X159" i="24" s="1"/>
  <c r="X160" i="24" l="1"/>
  <c r="F664" i="4"/>
  <c r="F8" i="11"/>
  <c r="G7" i="11" s="1"/>
  <c r="W160" i="24"/>
  <c r="O18" i="12"/>
  <c r="O27" i="12" s="1"/>
  <c r="G151" i="24"/>
  <c r="G160" i="24" s="1"/>
  <c r="F160" i="24"/>
  <c r="C17" i="16"/>
  <c r="AZ12" i="23"/>
  <c r="BA12" i="23" s="1"/>
  <c r="E36" i="16"/>
  <c r="G34" i="16"/>
  <c r="G36" i="16"/>
  <c r="C16" i="16"/>
  <c r="G28" i="16"/>
  <c r="G40" i="16"/>
  <c r="G29" i="16"/>
  <c r="G31" i="16"/>
  <c r="G30" i="16"/>
  <c r="G38" i="16"/>
  <c r="G39" i="16"/>
  <c r="G33" i="16"/>
  <c r="G27" i="16"/>
  <c r="G32" i="16"/>
  <c r="G37" i="16"/>
  <c r="E32" i="16"/>
  <c r="E39" i="16"/>
  <c r="AY16" i="23"/>
  <c r="BA16" i="23" s="1"/>
  <c r="F40" i="11"/>
  <c r="F57" i="11" s="1"/>
  <c r="N27" i="12"/>
  <c r="D35" i="16"/>
  <c r="AY5" i="23"/>
  <c r="BA5" i="23" s="1"/>
  <c r="E29" i="16"/>
  <c r="F36" i="16"/>
  <c r="H12" i="19"/>
  <c r="N18" i="12"/>
  <c r="H29" i="19" s="1"/>
  <c r="AY3" i="23"/>
  <c r="E28" i="16"/>
  <c r="C40" i="16"/>
  <c r="AY19" i="23" s="1"/>
  <c r="AZ15" i="23"/>
  <c r="BA15" i="23" s="1"/>
  <c r="E38" i="16"/>
  <c r="D13" i="16" l="1"/>
  <c r="F13" i="16" s="1"/>
  <c r="G13" i="16" s="1"/>
  <c r="I35" i="16" s="1"/>
  <c r="AZ11" i="23"/>
  <c r="D40" i="16"/>
  <c r="AZ19" i="23" s="1"/>
  <c r="B4" i="18"/>
  <c r="B5" i="18" s="1"/>
  <c r="D29" i="19"/>
  <c r="C5" i="16"/>
  <c r="D4" i="16" s="1"/>
  <c r="F4" i="16" s="1"/>
  <c r="G4" i="16" s="1"/>
  <c r="F30" i="16"/>
  <c r="F27" i="16"/>
  <c r="F37" i="16"/>
  <c r="F33" i="16"/>
  <c r="F29" i="16"/>
  <c r="F40" i="16"/>
  <c r="F32" i="16"/>
  <c r="F39" i="16"/>
  <c r="F34" i="16"/>
  <c r="F31" i="16"/>
  <c r="F38" i="16"/>
  <c r="F28" i="16"/>
  <c r="AY18" i="23"/>
  <c r="BA3" i="23"/>
  <c r="I32" i="16" l="1"/>
  <c r="I27" i="16"/>
  <c r="I30" i="16"/>
  <c r="I33" i="16"/>
  <c r="I37" i="16"/>
  <c r="I39" i="16"/>
  <c r="I31" i="16"/>
  <c r="I36" i="16"/>
  <c r="I29" i="16"/>
  <c r="I40" i="16"/>
  <c r="I34" i="16"/>
  <c r="I38" i="16"/>
  <c r="I28" i="16"/>
  <c r="G37" i="11"/>
  <c r="H6" i="11" s="1"/>
  <c r="AZ18" i="23"/>
  <c r="I6" i="11" l="1"/>
  <c r="J7" i="11" s="1"/>
  <c r="H31" i="11"/>
  <c r="I31" i="11" s="1"/>
  <c r="J31" i="11" s="1"/>
  <c r="B23" i="18" s="1"/>
  <c r="B24" i="18" s="1"/>
  <c r="B27" i="18" s="1"/>
  <c r="H35" i="11"/>
  <c r="I35" i="11" s="1"/>
  <c r="H32" i="11"/>
  <c r="I32" i="11" s="1"/>
  <c r="J32" i="11" s="1"/>
  <c r="H36" i="11"/>
  <c r="I36" i="11" s="1"/>
  <c r="J36" i="11" s="1"/>
  <c r="B9" i="18" s="1"/>
  <c r="B10" i="18" s="1"/>
  <c r="B13" i="18" s="1"/>
  <c r="H33" i="11"/>
  <c r="I33" i="11" s="1"/>
  <c r="J33" i="11" s="1"/>
  <c r="H34" i="11"/>
  <c r="I34" i="11" s="1"/>
  <c r="J34" i="11" s="1"/>
  <c r="B37" i="18" s="1"/>
  <c r="B38" i="18" s="1"/>
  <c r="B41" i="18" s="1"/>
  <c r="D3" i="5" l="1"/>
  <c r="J35" i="11"/>
  <c r="B30" i="18" s="1"/>
  <c r="B31" i="18" s="1"/>
  <c r="B34" i="18" s="1"/>
  <c r="E40" i="16"/>
  <c r="B16" i="18"/>
  <c r="B17" i="18" s="1"/>
  <c r="B20" i="18" s="1"/>
  <c r="I37" i="11"/>
  <c r="C12" i="16"/>
  <c r="D11" i="16" s="1"/>
  <c r="F11" i="16" s="1"/>
  <c r="H37" i="11"/>
  <c r="F24" i="16" l="1"/>
  <c r="D24" i="16"/>
  <c r="J37" i="11"/>
  <c r="F59" i="11" s="1"/>
  <c r="E3" i="5"/>
  <c r="E4" i="5" l="1"/>
  <c r="H13" i="19"/>
  <c r="H16" i="19" s="1"/>
  <c r="G11" i="16"/>
  <c r="B2" i="18"/>
  <c r="B3" i="18" s="1"/>
  <c r="H36" i="16" l="1"/>
  <c r="J36" i="16" s="1"/>
  <c r="H35" i="16"/>
  <c r="J35" i="16" s="1"/>
  <c r="H28" i="16"/>
  <c r="J28" i="16" s="1"/>
  <c r="H32" i="16"/>
  <c r="J32" i="16" s="1"/>
  <c r="H38" i="16"/>
  <c r="J38" i="16" s="1"/>
  <c r="H31" i="16"/>
  <c r="J31" i="16" s="1"/>
  <c r="H29" i="16"/>
  <c r="J29" i="16" s="1"/>
  <c r="H40" i="16"/>
  <c r="J40" i="16" s="1"/>
  <c r="H37" i="16"/>
  <c r="J37" i="16" s="1"/>
  <c r="H27" i="16"/>
  <c r="J27" i="16" s="1"/>
  <c r="H33" i="16"/>
  <c r="J33" i="16" s="1"/>
  <c r="H39" i="16"/>
  <c r="J39" i="16" s="1"/>
  <c r="H30" i="16"/>
  <c r="J30" i="16" s="1"/>
  <c r="H34" i="16"/>
  <c r="J34" i="16" s="1"/>
  <c r="G24" i="16"/>
  <c r="BA18" i="23" l="1"/>
  <c r="B6" i="18"/>
  <c r="F32" i="19"/>
  <c r="F31" i="19"/>
</calcChain>
</file>

<file path=xl/sharedStrings.xml><?xml version="1.0" encoding="utf-8"?>
<sst xmlns="http://schemas.openxmlformats.org/spreadsheetml/2006/main" count="4648" uniqueCount="963">
  <si>
    <t xml:space="preserve"> </t>
  </si>
  <si>
    <t>Institution</t>
  </si>
  <si>
    <t>Benefit</t>
  </si>
  <si>
    <t>%Employer Contribution</t>
  </si>
  <si>
    <t>Annual Cost</t>
  </si>
  <si>
    <t>Sub-Total</t>
  </si>
  <si>
    <t>Grand Total</t>
  </si>
  <si>
    <t>Basic Life &amp; Travel</t>
  </si>
  <si>
    <t>Unemployment Insurance</t>
  </si>
  <si>
    <t>Group Health Insurance</t>
  </si>
  <si>
    <t>Workman's Compensation</t>
  </si>
  <si>
    <t>Terminal Leave Charge</t>
  </si>
  <si>
    <t>Annual Physical Reimbursement</t>
  </si>
  <si>
    <t>Comb Hiland Mt.CC</t>
  </si>
  <si>
    <t>Leave Cash-in/Payout</t>
  </si>
  <si>
    <t>Ketchikan CC</t>
  </si>
  <si>
    <t>Lemon Creek CC</t>
  </si>
  <si>
    <t>Mat-Su Pre-Trial</t>
  </si>
  <si>
    <t>Palmer CC</t>
  </si>
  <si>
    <t>Spring Creek CC</t>
  </si>
  <si>
    <t xml:space="preserve">Yukon Kuskokwim </t>
  </si>
  <si>
    <t>Grand  Total</t>
  </si>
  <si>
    <t>Facility</t>
  </si>
  <si>
    <t>Total Benefits</t>
  </si>
  <si>
    <t>Fairbanks CC</t>
  </si>
  <si>
    <t>Wildwood CC</t>
  </si>
  <si>
    <t>Total</t>
  </si>
  <si>
    <t>Number of Employees</t>
  </si>
  <si>
    <t>Anvil Mt. CC</t>
  </si>
  <si>
    <t>Yukon Kuskokwim</t>
  </si>
  <si>
    <t>Type of Service</t>
  </si>
  <si>
    <t>Description of Service</t>
  </si>
  <si>
    <t>Number of Contracts</t>
  </si>
  <si>
    <t>MEDICAL</t>
  </si>
  <si>
    <t xml:space="preserve">Non-employee contracted </t>
  </si>
  <si>
    <t>physicians/nurses/PAs/X-ray</t>
  </si>
  <si>
    <t>Non-employee fee for services</t>
  </si>
  <si>
    <t>DENTAL</t>
  </si>
  <si>
    <t>Non-employee contracted</t>
  </si>
  <si>
    <t>dentist/hygienist/assistant</t>
  </si>
  <si>
    <t>SOCIAL COUNSELING</t>
  </si>
  <si>
    <t>substance abuse,batterers &amp;</t>
  </si>
  <si>
    <t>sex offender treatment</t>
  </si>
  <si>
    <t>PSYCHOLOGICAL</t>
  </si>
  <si>
    <t>COUNSELING</t>
  </si>
  <si>
    <t>mental health,psychiatric &amp;</t>
  </si>
  <si>
    <t>psychological services</t>
  </si>
  <si>
    <t>TOTAL</t>
  </si>
  <si>
    <t>Description of Cost</t>
  </si>
  <si>
    <t>Travel</t>
  </si>
  <si>
    <t>Utilities</t>
  </si>
  <si>
    <t>Total Cost</t>
  </si>
  <si>
    <t>Institutions Director's Office</t>
  </si>
  <si>
    <t>Inmate Programs</t>
  </si>
  <si>
    <t>Transportation</t>
  </si>
  <si>
    <t>Institutions</t>
  </si>
  <si>
    <t>Cost of Equipment</t>
  </si>
  <si>
    <t>Equipment Allowance 6.666%</t>
  </si>
  <si>
    <t>Additional Construction   Cost</t>
  </si>
  <si>
    <t>Annual Depreciation @ 2%</t>
  </si>
  <si>
    <t>Totals</t>
  </si>
  <si>
    <t>Inmate Health Care</t>
  </si>
  <si>
    <t>Out of State</t>
  </si>
  <si>
    <t>Commissioner's Office</t>
  </si>
  <si>
    <t>Parole Board</t>
  </si>
  <si>
    <t>Correctional Academy</t>
  </si>
  <si>
    <t>Anvil Mt.CC</t>
  </si>
  <si>
    <t>Division/Institution</t>
  </si>
  <si>
    <t>Total Reimbursement</t>
  </si>
  <si>
    <t>Outstanding Balance of RSA</t>
  </si>
  <si>
    <t>Facility-Capital Improvement</t>
  </si>
  <si>
    <t>Institution Director's Office</t>
  </si>
  <si>
    <t>Anvil Mtn. CC</t>
  </si>
  <si>
    <t>Yukon Kuskokwim CC</t>
  </si>
  <si>
    <t>Out-of-State Contractual</t>
  </si>
  <si>
    <t>Daily Cost per Prisoner</t>
  </si>
  <si>
    <t xml:space="preserve">  </t>
  </si>
  <si>
    <t>Daily Cost Per Prisoner</t>
  </si>
  <si>
    <t>UUU</t>
  </si>
  <si>
    <t>Training Academy</t>
  </si>
  <si>
    <t>YKCC</t>
  </si>
  <si>
    <t>19A</t>
  </si>
  <si>
    <t>Anchorage Probation</t>
  </si>
  <si>
    <t>Kodiak Probation</t>
  </si>
  <si>
    <t>Kenai Probation</t>
  </si>
  <si>
    <t>Dillingham Probation</t>
  </si>
  <si>
    <t>Juneau Probation</t>
  </si>
  <si>
    <t>Ketchikan Probation</t>
  </si>
  <si>
    <t>Sitka Probation</t>
  </si>
  <si>
    <t>Fairbanks Probation</t>
  </si>
  <si>
    <t>Bethel Probation</t>
  </si>
  <si>
    <t>Nome Probation</t>
  </si>
  <si>
    <t>Barrow Probation</t>
  </si>
  <si>
    <t>Kotzebue Probation</t>
  </si>
  <si>
    <t>INSTITUTIONS</t>
  </si>
  <si>
    <t>Equipment &amp; Bldg. Depreciation</t>
  </si>
  <si>
    <t>Mandays</t>
  </si>
  <si>
    <t>Inst. Cost</t>
  </si>
  <si>
    <t>Div.of Admin.&amp; Support Cost</t>
  </si>
  <si>
    <t>Cook Inlet</t>
  </si>
  <si>
    <t>Hiland Mt.CC</t>
  </si>
  <si>
    <t xml:space="preserve">Lemon Creek </t>
  </si>
  <si>
    <t>Spring Creek</t>
  </si>
  <si>
    <t>-</t>
  </si>
  <si>
    <t>BY INDIVIDUAL INSTITUTIONS</t>
  </si>
  <si>
    <t>TOTAL PERSONAL SERVICES</t>
  </si>
  <si>
    <t>Total Wages</t>
  </si>
  <si>
    <t>Other Personal Services</t>
  </si>
  <si>
    <t>Total Personal Services</t>
  </si>
  <si>
    <t>CONSULTANTS &amp; CONTRACT SERVICES</t>
  </si>
  <si>
    <t>Non-employee fee for service</t>
  </si>
  <si>
    <t>OTHER DIRECT JAIL OPERATING COSTS</t>
  </si>
  <si>
    <t>% of Time Spent in Support of Jail Operators</t>
  </si>
  <si>
    <t>Organization Providing Service</t>
  </si>
  <si>
    <t>Allowable Indirect Cost</t>
  </si>
  <si>
    <t>EQUIPMENT COST</t>
  </si>
  <si>
    <t>By Individual Institution</t>
  </si>
  <si>
    <t>BUILDING DEPRECIATION</t>
  </si>
  <si>
    <t>Total Building Depreciation</t>
  </si>
  <si>
    <t>Total Equipment Cost</t>
  </si>
  <si>
    <t>(Schedule F + Schedule G)</t>
  </si>
  <si>
    <t>Repair/Maintenance Supplies</t>
  </si>
  <si>
    <t>Other Services &amp; Charges</t>
  </si>
  <si>
    <t>COST ALLOCATION PLANS / INDIRECT COST PROPOSALS</t>
  </si>
  <si>
    <t>PROPERTY INVENTORY</t>
  </si>
  <si>
    <t>% OF TOTAL</t>
  </si>
  <si>
    <t>TOTAL ALL COSTS</t>
  </si>
  <si>
    <t>Anvil Mountain CC</t>
  </si>
  <si>
    <t>Cook Inlet CC</t>
  </si>
  <si>
    <t>Mat-Su CC</t>
  </si>
  <si>
    <t>Yukon-Kuskokwim CC</t>
  </si>
  <si>
    <t>Tents</t>
  </si>
  <si>
    <t>CRC's</t>
  </si>
  <si>
    <t>CRC Offender Supervision</t>
  </si>
  <si>
    <t>Electronic Monitoring</t>
  </si>
  <si>
    <t>Treatment Beds</t>
  </si>
  <si>
    <t>Arizona</t>
  </si>
  <si>
    <t>Other Out Of State</t>
  </si>
  <si>
    <t>Pt. MacKenzie</t>
  </si>
  <si>
    <t>TOTAL INSTITUTIONS</t>
  </si>
  <si>
    <t>Other</t>
  </si>
  <si>
    <t>TOTAL OTHER</t>
  </si>
  <si>
    <t>AVERAGE DAILY INMATE POPULATION</t>
  </si>
  <si>
    <t>ANNUAL AVERAGE DAILY POPULATION</t>
  </si>
  <si>
    <t>ANNUAL TOTAL MANDAYS</t>
  </si>
  <si>
    <t>GRAND TOTAL</t>
  </si>
  <si>
    <t>% by entity</t>
  </si>
  <si>
    <t>Total Expenditures</t>
  </si>
  <si>
    <t>COMPONENT</t>
  </si>
  <si>
    <t>Subtract:</t>
  </si>
  <si>
    <t>ADMIN &amp; SUPPORT</t>
  </si>
  <si>
    <t>TOTAL EXPENSES</t>
  </si>
  <si>
    <t>Facility Planning - CIP</t>
  </si>
  <si>
    <t>ADJUSTED COSTS</t>
  </si>
  <si>
    <t>LESS REIMB</t>
  </si>
  <si>
    <t>BILLING RATE CALCULATION</t>
  </si>
  <si>
    <t>?</t>
  </si>
  <si>
    <t>BILLING RATE</t>
  </si>
  <si>
    <t>Section I - General  Information</t>
  </si>
  <si>
    <t>Name of Facility:</t>
  </si>
  <si>
    <t>Phone Number:</t>
  </si>
  <si>
    <t>Physical Address of Facility:</t>
  </si>
  <si>
    <t>Department of Corrections</t>
  </si>
  <si>
    <t>Juneau, Alaska</t>
  </si>
  <si>
    <t>Section II - Financial Data Summary</t>
  </si>
  <si>
    <t>Total Operating Cost for Jail:</t>
  </si>
  <si>
    <t>From:</t>
  </si>
  <si>
    <t>To:</t>
  </si>
  <si>
    <t>(month/year)</t>
  </si>
  <si>
    <t>D.  Total Consultants and Contract Services (Schedule C)</t>
  </si>
  <si>
    <t>F.  Indirect Costs (Schedule E)*</t>
  </si>
  <si>
    <t>G.  Equipment Depreciation costs (Schedule F)</t>
  </si>
  <si>
    <t>H.  Building Depreciation Costs (Schedule G)</t>
  </si>
  <si>
    <t>I.  Total Operating Costs (Sum of Schedules B-G)</t>
  </si>
  <si>
    <t>COST SHEET FOR DETENTION SERVICES</t>
  </si>
  <si>
    <t>Section III - Prisoner Population Information</t>
  </si>
  <si>
    <t>Time Frame of Prisoner Information</t>
  </si>
  <si>
    <t>(must correspond with time frame on previous page)</t>
  </si>
  <si>
    <t>Inmate Capacity of Jail:</t>
  </si>
  <si>
    <t>FROM:</t>
  </si>
  <si>
    <t>TO:</t>
  </si>
  <si>
    <t>COST SHEET FOR DETENTION SERVICES (continued)</t>
  </si>
  <si>
    <t>MALE</t>
  </si>
  <si>
    <t>FEMALE</t>
  </si>
  <si>
    <t>Average Daily Population:</t>
  </si>
  <si>
    <t>Type of Prisoner</t>
  </si>
  <si>
    <t>Federal</t>
  </si>
  <si>
    <t>Local</t>
  </si>
  <si>
    <t>State</t>
  </si>
  <si>
    <t>Section IV - Per Diem</t>
  </si>
  <si>
    <t>Proposed Per Diem Rate for Federal Prisoners:</t>
  </si>
  <si>
    <t>State Prisoner Per Diem Rate:</t>
  </si>
  <si>
    <t>Please provide the name of the individual authorized to represent and to act for the Local Government in jail day rate negotiations.</t>
  </si>
  <si>
    <t>Name</t>
  </si>
  <si>
    <t>Phone</t>
  </si>
  <si>
    <t>Fax</t>
  </si>
  <si>
    <t>Department/Office</t>
  </si>
  <si>
    <t>Street</t>
  </si>
  <si>
    <t>City</t>
  </si>
  <si>
    <t>State/Zip</t>
  </si>
  <si>
    <t>State of Alaska, Dept of Corrections</t>
  </si>
  <si>
    <t>PO Box 112000</t>
  </si>
  <si>
    <t>Juneau</t>
  </si>
  <si>
    <t>AK, 99811</t>
  </si>
  <si>
    <t>Section VI - Certification Statement</t>
  </si>
  <si>
    <t>Signature</t>
  </si>
  <si>
    <t>Date</t>
  </si>
  <si>
    <t>Title</t>
  </si>
  <si>
    <t>A. Time Frame</t>
  </si>
  <si>
    <t>Section V - Local Government Contact</t>
  </si>
  <si>
    <t xml:space="preserve">This is to certify that, to the vest of my knowledge and belief, the data furnished in Schedules B through G are accurate, complete and current, and do not include any unallocable, or unallowable costs prohibited by OMB Circular No. A-87 (Cost Principles for State and Local Governments) or any cost not related to the jail facility as discussed on Form USM-243 (Cost Sheet for Detention Services.)  The records of this agency are available for review and audit by the authorized representative of the U.S. Government to verify any jail per diem rate negotiated. </t>
  </si>
  <si>
    <t>All Buildings Construction Cost</t>
  </si>
  <si>
    <t>INDIVIDUAL INSTITUTION RATES</t>
  </si>
  <si>
    <t>Injury Leave Contribution</t>
  </si>
  <si>
    <t>Combined Hiland Mtn CC</t>
  </si>
  <si>
    <t>SEASIDE CRC-NOME</t>
  </si>
  <si>
    <t>Total Institutional Costs</t>
  </si>
  <si>
    <t>Daily Cost per Institutional Prisoner</t>
  </si>
  <si>
    <t>Total Community Residential Centers Costs</t>
  </si>
  <si>
    <t>Total Probation/Parole Costs</t>
  </si>
  <si>
    <t>Total Community Jail Costs</t>
  </si>
  <si>
    <t>B.  Total Personnel salary/wage costs (Schedule B - Part I)</t>
  </si>
  <si>
    <t>C.  Total Personnel Benefits/Other Personnel Services (Schedule B - Part II)</t>
  </si>
  <si>
    <t>Personnel Services</t>
  </si>
  <si>
    <t>E.  Other Direct Operating costs (Schedule D1 and D2)</t>
  </si>
  <si>
    <t xml:space="preserve">COST ALLOCATION </t>
  </si>
  <si>
    <t>TOTAL COSTS</t>
  </si>
  <si>
    <t>COMMUNITY RESIDENTIAL CENTERS</t>
  </si>
  <si>
    <t>Anchorage Jail</t>
  </si>
  <si>
    <t>Budgeted Revenue Interagency Receipts (I/A)</t>
  </si>
  <si>
    <t>% for Institution Operations</t>
  </si>
  <si>
    <t>Less: DHSS RSA Youth Meals</t>
  </si>
  <si>
    <t>Less: DPS RSA Transport</t>
  </si>
  <si>
    <t>STATEWIDE DIRECT COSTS</t>
  </si>
  <si>
    <t>Statewide Direct Cost</t>
  </si>
  <si>
    <t>PERSONAL SERVICES BENEFITS BY INDIVIDUAL INSTITUTIONS</t>
  </si>
  <si>
    <t>.</t>
  </si>
  <si>
    <t>Sixth Avenue</t>
  </si>
  <si>
    <t xml:space="preserve">* * * * * * * * * * * </t>
  </si>
  <si>
    <t>* * * * * * *</t>
  </si>
  <si>
    <t xml:space="preserve">* * * * * * * </t>
  </si>
  <si>
    <t>Daily Cost per Probationer/Parolee</t>
  </si>
  <si>
    <t>AVERAGE QTRLY</t>
  </si>
  <si>
    <t>FY04</t>
  </si>
  <si>
    <t>FY03</t>
  </si>
  <si>
    <t>Capacity</t>
  </si>
  <si>
    <t>EM/Max</t>
  </si>
  <si>
    <t>416/388</t>
  </si>
  <si>
    <t>104/102</t>
  </si>
  <si>
    <t>403/397</t>
  </si>
  <si>
    <t>211/200</t>
  </si>
  <si>
    <t>311/303</t>
  </si>
  <si>
    <t>58/52</t>
  </si>
  <si>
    <t>170/164</t>
  </si>
  <si>
    <t>85/82</t>
  </si>
  <si>
    <t>390/383</t>
  </si>
  <si>
    <t>486/466</t>
  </si>
  <si>
    <t>368/361</t>
  </si>
  <si>
    <t>92/88</t>
  </si>
  <si>
    <r>
      <t>Combined</t>
    </r>
    <r>
      <rPr>
        <sz val="11"/>
        <rFont val="Arial"/>
        <family val="2"/>
      </rPr>
      <t xml:space="preserve"> Hiland Mtn CC</t>
    </r>
  </si>
  <si>
    <r>
      <t>Combined</t>
    </r>
    <r>
      <rPr>
        <sz val="11"/>
        <rFont val="Arial"/>
        <family val="2"/>
      </rPr>
      <t xml:space="preserve"> Palmer CC</t>
    </r>
  </si>
  <si>
    <r>
      <t>Combined</t>
    </r>
    <r>
      <rPr>
        <sz val="11"/>
        <rFont val="Arial"/>
        <family val="2"/>
      </rPr>
      <t xml:space="preserve"> Wildwood CC</t>
    </r>
  </si>
  <si>
    <t>Total Quarterly Mandays</t>
  </si>
  <si>
    <t>112/112</t>
  </si>
  <si>
    <t>FY05</t>
  </si>
  <si>
    <t>Community Residential Centers</t>
  </si>
  <si>
    <t>ANNUAL AVERAGE  POPULATION</t>
  </si>
  <si>
    <t>FY2004 ANNUAL TOTAL MANDAYS</t>
  </si>
  <si>
    <t>FY2003 ANNUAL TOTAL MANDAYS</t>
  </si>
  <si>
    <t>FY2002 ANNUAL TOTAL MANDAYS</t>
  </si>
  <si>
    <t>FY2001 ANNUAL TOTAL MANDAYS</t>
  </si>
  <si>
    <t>ANNUAL AVERAGE POPULATION</t>
  </si>
  <si>
    <t>FY2000 ANNUAL TOTAL MANDAYS</t>
  </si>
  <si>
    <t>FY1999 ANNUAL TOTAL MANDAYS</t>
  </si>
  <si>
    <t>FY06</t>
  </si>
  <si>
    <t>Anchorage Complex East</t>
  </si>
  <si>
    <t>Anchorage Complex West</t>
  </si>
  <si>
    <t>FY07</t>
  </si>
  <si>
    <t>FY08</t>
  </si>
  <si>
    <t>FY09</t>
  </si>
  <si>
    <t>416/400</t>
  </si>
  <si>
    <t>436/418</t>
  </si>
  <si>
    <t>316/309</t>
  </si>
  <si>
    <t>404/395</t>
  </si>
  <si>
    <t>228/222</t>
  </si>
  <si>
    <t>102/98</t>
  </si>
  <si>
    <t>128/128</t>
  </si>
  <si>
    <t>557/541</t>
  </si>
  <si>
    <t>379/368</t>
  </si>
  <si>
    <t>131/126</t>
  </si>
  <si>
    <t>* * * * * * * * * * * *</t>
  </si>
  <si>
    <t xml:space="preserve"> * * * * * * *</t>
  </si>
  <si>
    <t>514/503</t>
  </si>
  <si>
    <r>
      <t xml:space="preserve">Fairbanks CC </t>
    </r>
    <r>
      <rPr>
        <b/>
        <sz val="11"/>
        <rFont val="Arial"/>
        <family val="2"/>
      </rPr>
      <t>259/248 ?</t>
    </r>
  </si>
  <si>
    <t>Anchorage Complex</t>
  </si>
  <si>
    <t>Pt. MacKenzie CF</t>
  </si>
  <si>
    <t>not a set $</t>
  </si>
  <si>
    <t>Education Services</t>
  </si>
  <si>
    <t>Financial Services</t>
  </si>
  <si>
    <t>Telecommunications</t>
  </si>
  <si>
    <t>Delivery Services</t>
  </si>
  <si>
    <t>Structure/Infra/Land/Rentals</t>
  </si>
  <si>
    <t>Equipment/Machinery</t>
  </si>
  <si>
    <t>Interagency Services</t>
  </si>
  <si>
    <t>Business</t>
  </si>
  <si>
    <t>Agricultural</t>
  </si>
  <si>
    <t>Household/Institutional</t>
  </si>
  <si>
    <t>Scientific &amp; Medical</t>
  </si>
  <si>
    <t>Safety</t>
  </si>
  <si>
    <t>Capital Outlay</t>
  </si>
  <si>
    <t>Equipment &amp; Industrial</t>
  </si>
  <si>
    <t>Information Technology</t>
  </si>
  <si>
    <t>Pt. MacKenzie Correctional Farm</t>
  </si>
  <si>
    <t>Classification &amp; Furlough</t>
  </si>
  <si>
    <t>Point of Arrest</t>
  </si>
  <si>
    <t>Palmer Probation</t>
  </si>
  <si>
    <t>PT. MACKENZIE CF</t>
  </si>
  <si>
    <t>FY10</t>
  </si>
  <si>
    <t>259/248</t>
  </si>
  <si>
    <t xml:space="preserve">Fairbanks CC </t>
  </si>
  <si>
    <t>$0.00/mo.pp</t>
  </si>
  <si>
    <t>Prison System Expansion</t>
  </si>
  <si>
    <t>BRU</t>
  </si>
  <si>
    <t>Commissioner</t>
  </si>
  <si>
    <t>Academy</t>
  </si>
  <si>
    <t>Admin Services</t>
  </si>
  <si>
    <t>Info Tech MIS</t>
  </si>
  <si>
    <t>Facilities Rent</t>
  </si>
  <si>
    <t>Research &amp; Rcrds</t>
  </si>
  <si>
    <t>Pt MacKenzie Farm</t>
  </si>
  <si>
    <t>;</t>
  </si>
  <si>
    <t>General Capacity</t>
  </si>
  <si>
    <t>Total Electronic Monitoring Costs</t>
  </si>
  <si>
    <t>The "Total Cost" columns only represent costs associated with the Institutions and does not include other costs.  The "Total" column should reflect "Inst. Cost" rate shown on BILLING RATE CALC tab.</t>
  </si>
  <si>
    <t>Arizona/Hudson as of Dec09</t>
  </si>
  <si>
    <t>$8.00/mo</t>
  </si>
  <si>
    <t>(907) 465-3315</t>
  </si>
  <si>
    <t>(907) 465-3460</t>
  </si>
  <si>
    <t>FY11</t>
  </si>
  <si>
    <t>Colorado</t>
  </si>
  <si>
    <t>2002 COC</t>
  </si>
  <si>
    <t>2003 COC</t>
  </si>
  <si>
    <t>2004 COC</t>
  </si>
  <si>
    <t>2005 COC</t>
  </si>
  <si>
    <t>2006 COC</t>
  </si>
  <si>
    <t>2007 COC</t>
  </si>
  <si>
    <t>2008 COC</t>
  </si>
  <si>
    <t>2009 COC</t>
  </si>
  <si>
    <t>2010 COC</t>
  </si>
  <si>
    <t>2011 COC</t>
  </si>
  <si>
    <t>2012 COC</t>
  </si>
  <si>
    <t>ANVIL MTN CC</t>
  </si>
  <si>
    <t>FAIRBANKS CC</t>
  </si>
  <si>
    <t>HILAND MTN CC</t>
  </si>
  <si>
    <t>KETCHIKAN CC</t>
  </si>
  <si>
    <t>LEMON CREEK CC</t>
  </si>
  <si>
    <t>MATSU PRETRIAL</t>
  </si>
  <si>
    <t>PALMER-MED CC</t>
  </si>
  <si>
    <t>PALMER-MIN CC</t>
  </si>
  <si>
    <t>SPRING CREEK CC</t>
  </si>
  <si>
    <t>WILDWOOD CC</t>
  </si>
  <si>
    <t>WILDWOOD PRETRIAL</t>
  </si>
  <si>
    <t>YUKON-KUSKOKWIM CC</t>
  </si>
  <si>
    <t>AKEELA HOUSE</t>
  </si>
  <si>
    <t>CLITHEROE</t>
  </si>
  <si>
    <t>CORDOVA CTR</t>
  </si>
  <si>
    <t>GLACIER MANOR</t>
  </si>
  <si>
    <t>GLENNWOOD CTR</t>
  </si>
  <si>
    <t>MIDTOWN CTR - ANCH</t>
  </si>
  <si>
    <t>NORTH STAR CTR</t>
  </si>
  <si>
    <t>PARKVIEW</t>
  </si>
  <si>
    <t>TUNDRA CTR</t>
  </si>
  <si>
    <t>ANCHORAGE EM</t>
  </si>
  <si>
    <t>FAIRBANKS EM</t>
  </si>
  <si>
    <t>JUNEAU EM</t>
  </si>
  <si>
    <t>KENAI EM</t>
  </si>
  <si>
    <t>KETCHIKAN EM</t>
  </si>
  <si>
    <t>PALMER EM</t>
  </si>
  <si>
    <t>FEDERAL BUREAU PRISONS</t>
  </si>
  <si>
    <t>COLORADO STATE PRISON</t>
  </si>
  <si>
    <t>WASHINGTON STATE</t>
  </si>
  <si>
    <t>Facility Cap Imp Unit</t>
  </si>
  <si>
    <t>Commissioner's Office Jnu/Anch</t>
  </si>
  <si>
    <t>8/9</t>
  </si>
  <si>
    <t>21B</t>
  </si>
  <si>
    <t>SCHEDULE  F</t>
  </si>
  <si>
    <t>SCHEDULE  G</t>
  </si>
  <si>
    <t xml:space="preserve">Anchorage Complex </t>
  </si>
  <si>
    <t>24HR INST UTILITIES</t>
  </si>
  <si>
    <t>Facility-CAP Imp Unit</t>
  </si>
  <si>
    <t>Less: DHSS &amp; DOT RSAs</t>
  </si>
  <si>
    <t xml:space="preserve">Anchorage Probation Office </t>
  </si>
  <si>
    <t>Year</t>
  </si>
  <si>
    <t>Jul</t>
  </si>
  <si>
    <t>Aug</t>
  </si>
  <si>
    <t>Sep</t>
  </si>
  <si>
    <t>Oct</t>
  </si>
  <si>
    <t>Nov</t>
  </si>
  <si>
    <t>Dec</t>
  </si>
  <si>
    <t xml:space="preserve">Jan </t>
  </si>
  <si>
    <t>Feb</t>
  </si>
  <si>
    <t>Mar</t>
  </si>
  <si>
    <t>Apr</t>
  </si>
  <si>
    <t>May</t>
  </si>
  <si>
    <t>June</t>
  </si>
  <si>
    <t xml:space="preserve">Average Caseload </t>
  </si>
  <si>
    <t>Average Caseload Difference</t>
  </si>
  <si>
    <t>Percent Caseload Difference</t>
  </si>
  <si>
    <t>FY00</t>
  </si>
  <si>
    <t>FY01</t>
  </si>
  <si>
    <t>FY02</t>
  </si>
  <si>
    <t>FY12</t>
  </si>
  <si>
    <t xml:space="preserve">Barrow Probation Office </t>
  </si>
  <si>
    <t xml:space="preserve">Bethel     Probation Office </t>
  </si>
  <si>
    <t>15 SO cases shifted to Kenai</t>
  </si>
  <si>
    <t xml:space="preserve">Dillingham     Probation Office </t>
  </si>
  <si>
    <t xml:space="preserve">Fairbanks     Probation Office </t>
  </si>
  <si>
    <t xml:space="preserve">Juneau Probation Office </t>
  </si>
  <si>
    <t xml:space="preserve">Kenai    Probation Office </t>
  </si>
  <si>
    <t xml:space="preserve">Ketchikan   Probation Office </t>
  </si>
  <si>
    <t>Kodiak Probation Office</t>
  </si>
  <si>
    <t xml:space="preserve">Kotzebue Probation Office </t>
  </si>
  <si>
    <t xml:space="preserve">Nome    Probation Office </t>
  </si>
  <si>
    <t xml:space="preserve">Palmer Probation Office </t>
  </si>
  <si>
    <t xml:space="preserve">Sitka    Probation Office </t>
  </si>
  <si>
    <t>Statewide PSI Unit</t>
  </si>
  <si>
    <t>Statewide Combined</t>
  </si>
  <si>
    <t xml:space="preserve">Overall Percentage Difference </t>
  </si>
  <si>
    <t xml:space="preserve">FY12 </t>
  </si>
  <si>
    <t>GEN/Max</t>
  </si>
  <si>
    <t>128/126</t>
  </si>
  <si>
    <r>
      <t>Combined</t>
    </r>
    <r>
      <rPr>
        <sz val="11"/>
        <rFont val="Arial"/>
        <family val="2"/>
      </rPr>
      <t xml:space="preserve"> Wildwood CC*</t>
    </r>
  </si>
  <si>
    <t>473/462</t>
  </si>
  <si>
    <t>137/132</t>
  </si>
  <si>
    <t>n/a</t>
  </si>
  <si>
    <t>FY2012                                                                                                                                                         AVERAGE YEAR TO DATE INMATE POPULATION</t>
  </si>
  <si>
    <t>Goose Creek CC</t>
  </si>
  <si>
    <t>Leave- Holiday</t>
  </si>
  <si>
    <t>:Difference</t>
  </si>
  <si>
    <t>Commodities / Supplies</t>
  </si>
  <si>
    <t>Other Services</t>
  </si>
  <si>
    <t xml:space="preserve">Prison System Expansion </t>
  </si>
  <si>
    <t>GCCC</t>
  </si>
  <si>
    <t>SAARP</t>
  </si>
  <si>
    <t>Probation &amp; Parole</t>
  </si>
  <si>
    <t>FY13</t>
  </si>
  <si>
    <t>19B</t>
  </si>
  <si>
    <t>19C</t>
  </si>
  <si>
    <t>19D</t>
  </si>
  <si>
    <t>19E</t>
  </si>
  <si>
    <t>20A</t>
  </si>
  <si>
    <t>20B</t>
  </si>
  <si>
    <t>20C</t>
  </si>
  <si>
    <t>21A</t>
  </si>
  <si>
    <t>21D</t>
  </si>
  <si>
    <t>21E</t>
  </si>
  <si>
    <t>28A</t>
  </si>
  <si>
    <t>36B</t>
  </si>
  <si>
    <t>Institution Education Programs</t>
  </si>
  <si>
    <t>2013 COC</t>
  </si>
  <si>
    <t xml:space="preserve">* * * * * * * * * * * * * * * * * * * * * * * * * * * * * * * * * * * * * * * * * * * * * * * * * * * * * * * * * * * * * * * * * * * * * * * * * * * * * * * * * * * * * * * * * * * * * * * * * * * * * * * * * * * * * * * * * * * * * * * * * * * * </t>
  </si>
  <si>
    <t>* * * * * * * * * * * * * *</t>
  </si>
  <si>
    <t>* * * * * * * * * * * * *</t>
  </si>
  <si>
    <t>Leap Year</t>
  </si>
  <si>
    <t>Daily Cost (Divided by 365 days)</t>
  </si>
  <si>
    <t>863./829</t>
  </si>
  <si>
    <t>312/312</t>
  </si>
  <si>
    <t>232/226</t>
  </si>
  <si>
    <t>195/190</t>
  </si>
  <si>
    <t>839</t>
  </si>
  <si>
    <t>*GCCC Beds ramp-up to 1480 by June 30</t>
  </si>
  <si>
    <t>*ACCE &amp; ACCW combined totals for FY13</t>
  </si>
  <si>
    <t>FY2013                                                                                                                                                       AVERAGE YEAR TO DATE INMATE POPULATION</t>
  </si>
  <si>
    <t>Comb Hiland Mtn. CC</t>
  </si>
  <si>
    <t>Offender Habilitation</t>
  </si>
  <si>
    <t>Administrative Services</t>
  </si>
  <si>
    <t>GOOSE CREEK CC</t>
  </si>
  <si>
    <t>BEDS</t>
  </si>
  <si>
    <t>Bristol Bay</t>
  </si>
  <si>
    <t>Cordova</t>
  </si>
  <si>
    <t>Craig</t>
  </si>
  <si>
    <t>Dillingham</t>
  </si>
  <si>
    <t>Haines</t>
  </si>
  <si>
    <t>Homer</t>
  </si>
  <si>
    <t>Kodiak</t>
  </si>
  <si>
    <t>Kotzebue</t>
  </si>
  <si>
    <t>NSB</t>
  </si>
  <si>
    <t>Petersburg</t>
  </si>
  <si>
    <t>Seward</t>
  </si>
  <si>
    <t>Sitka</t>
  </si>
  <si>
    <t>Unalaska</t>
  </si>
  <si>
    <t>Valdez</t>
  </si>
  <si>
    <t>Wrangell</t>
  </si>
  <si>
    <t>July</t>
  </si>
  <si>
    <t>August</t>
  </si>
  <si>
    <t>September</t>
  </si>
  <si>
    <t>October</t>
  </si>
  <si>
    <t>November</t>
  </si>
  <si>
    <t>December</t>
  </si>
  <si>
    <t>January</t>
  </si>
  <si>
    <t>February</t>
  </si>
  <si>
    <t>March</t>
  </si>
  <si>
    <t xml:space="preserve">April </t>
  </si>
  <si>
    <t xml:space="preserve">Total </t>
  </si>
  <si>
    <t>Persons</t>
  </si>
  <si>
    <t>CAP DAYS</t>
  </si>
  <si>
    <t xml:space="preserve">March </t>
  </si>
  <si>
    <t>April</t>
  </si>
  <si>
    <t xml:space="preserve">May </t>
  </si>
  <si>
    <t>Man-days</t>
  </si>
  <si>
    <t>FY14</t>
  </si>
  <si>
    <t>Laundry - Lemon Creek</t>
  </si>
  <si>
    <t xml:space="preserve">Total Equipment Cost &amp; Building      Depreciation </t>
  </si>
  <si>
    <t>* * * * * * * *  * * * * * *</t>
  </si>
  <si>
    <t>*ACCE &amp; ACCW combined totals for FY14</t>
  </si>
  <si>
    <t>FY2014</t>
  </si>
  <si>
    <t>FY2014                                                                                                                                                       AVERAGE YEAR TO DATE INMATE POPULATION</t>
  </si>
  <si>
    <t>FY2003                                                                                                                                                            AVERAGE YEAR TO DATE INMATE POPULATION</t>
  </si>
  <si>
    <t>FY2001                                                                                                                                                  AVERAGE YEAR TO DATE INMATE POPULATION</t>
  </si>
  <si>
    <t>FY2002                                                                                                                                                             AVERAGE YEAR TO DATE INMATE POPULATION</t>
  </si>
  <si>
    <t>FY2000                                                                                                                                                            AVERAGE YEAR TO DATE INMATE POPULATION</t>
  </si>
  <si>
    <t>FY1999                                                                                                                                                            AVERAGE YEAR TO DATE INMATE POPULATION</t>
  </si>
  <si>
    <t>FY1998                                                                                                                                                             AVERAGE YEAR TO DATE INMATE POPULATION</t>
  </si>
  <si>
    <t>21C</t>
  </si>
  <si>
    <t>Programs</t>
  </si>
  <si>
    <t>2015 COC</t>
  </si>
  <si>
    <t>Total Actual Operating Cost for Prior Fiscal Year</t>
  </si>
  <si>
    <t>Daily Cost Per Community Residential Center Inmate</t>
  </si>
  <si>
    <t>(907) 269-7397</t>
  </si>
  <si>
    <t>FY2015                                                                                                                                                       AVERAGE YEAR TO DATE INMATE POPULATION</t>
  </si>
  <si>
    <t>1472/1408</t>
  </si>
  <si>
    <t>551/535</t>
  </si>
  <si>
    <t>441/430</t>
  </si>
  <si>
    <t>200/189</t>
  </si>
  <si>
    <t>N/A</t>
  </si>
  <si>
    <t>*Colorado contrat ended Sept 2013</t>
  </si>
  <si>
    <t>*PT. Mac combined with GCCC June 30</t>
  </si>
  <si>
    <t>FY2015</t>
  </si>
  <si>
    <t>ANCHORAGE CC EAST</t>
  </si>
  <si>
    <t>ANCHORAGE CC WEST</t>
  </si>
  <si>
    <t>AVG Daily</t>
  </si>
  <si>
    <t>(Sched-A)</t>
  </si>
  <si>
    <t>BARROW EM</t>
  </si>
  <si>
    <t>KODIAK EM</t>
  </si>
  <si>
    <t>Average</t>
  </si>
  <si>
    <t>Research &amp; Records</t>
  </si>
  <si>
    <t>FY15</t>
  </si>
  <si>
    <t>FY16</t>
  </si>
  <si>
    <t>2016 COC</t>
  </si>
  <si>
    <t xml:space="preserve">Total Out-of-State Contractual Costs </t>
  </si>
  <si>
    <t>Budgeted DPS Transport RSA</t>
  </si>
  <si>
    <t>acc</t>
  </si>
  <si>
    <t>amcc</t>
  </si>
  <si>
    <t>hmcc</t>
  </si>
  <si>
    <t>fcc</t>
  </si>
  <si>
    <t>gccc</t>
  </si>
  <si>
    <t>kcc</t>
  </si>
  <si>
    <t>lccc</t>
  </si>
  <si>
    <t>mscc</t>
  </si>
  <si>
    <t>pcc</t>
  </si>
  <si>
    <t>sccc</t>
  </si>
  <si>
    <t>wwcc</t>
  </si>
  <si>
    <t>ykcc</t>
  </si>
  <si>
    <t>Report totals</t>
  </si>
  <si>
    <t>Difference</t>
  </si>
  <si>
    <t>RSAs</t>
  </si>
  <si>
    <t>Max</t>
  </si>
  <si>
    <t>Gen Capacity</t>
  </si>
  <si>
    <t>Capactiy</t>
  </si>
  <si>
    <t>FY2016</t>
  </si>
  <si>
    <t>FY2016                                                                                                                                                       AVERAGE YEAR TO DATE INMATE POPULATION</t>
  </si>
  <si>
    <t>IRIS
Unit</t>
  </si>
  <si>
    <t>Procurement</t>
  </si>
  <si>
    <t>Probation Region ONE</t>
  </si>
  <si>
    <t>Probation Region TWO</t>
  </si>
  <si>
    <t>Physical Health Care</t>
  </si>
  <si>
    <t>IRIS Codes</t>
  </si>
  <si>
    <t>Public Employee's Retirement System Defined Benefits</t>
  </si>
  <si>
    <t>Public Employee's Retirement System Defined Contribution</t>
  </si>
  <si>
    <t>Public Employee's Retirement System Defined Cont Health Reim</t>
  </si>
  <si>
    <t>Public Employee's Retiremnt Sys Defined Cont Retiree Medical</t>
  </si>
  <si>
    <t>Public Employee's Retiremnt Sys Defined Benefit Unfnd Liab</t>
  </si>
  <si>
    <t>Basic Life and Travel</t>
  </si>
  <si>
    <t>Worker's Compensation Insurance</t>
  </si>
  <si>
    <t>Leave Cash In Employer Charge</t>
  </si>
  <si>
    <t>Terminal Leave Employer Charge</t>
  </si>
  <si>
    <t>ACOA Injury Leave Contribution</t>
  </si>
  <si>
    <t>Medicare Tax</t>
  </si>
  <si>
    <t>:Total Object Category</t>
  </si>
  <si>
    <t>IRIS CODES</t>
  </si>
  <si>
    <t>Non-Interagency Svcs</t>
  </si>
  <si>
    <t>Training/Conferences</t>
  </si>
  <si>
    <t>Memberships</t>
  </si>
  <si>
    <t>Penalties And Fines</t>
  </si>
  <si>
    <t>Claim/Judgement Non-Taxable</t>
  </si>
  <si>
    <t>Uncleared 1Card Transactions</t>
  </si>
  <si>
    <t>Software  Licensing</t>
  </si>
  <si>
    <t>Software Maintenance</t>
  </si>
  <si>
    <t>Long Distance</t>
  </si>
  <si>
    <t>Local/Equipment Charges</t>
  </si>
  <si>
    <t>Data/Network</t>
  </si>
  <si>
    <t>Cellular Phones</t>
  </si>
  <si>
    <t>Psychiatric</t>
  </si>
  <si>
    <t>Medical</t>
  </si>
  <si>
    <t>Freight</t>
  </si>
  <si>
    <t>Courier</t>
  </si>
  <si>
    <t>Postage</t>
  </si>
  <si>
    <t>Water and Sewage</t>
  </si>
  <si>
    <t>Disposal</t>
  </si>
  <si>
    <t>Inspections/Testing</t>
  </si>
  <si>
    <t>Structure, Infrastructure and Land - Rentals/Leases</t>
  </si>
  <si>
    <t>Equipment and Machinery - Repairs/Maintenance</t>
  </si>
  <si>
    <t>Equipment and Machinery - Rentals/Leases</t>
  </si>
  <si>
    <t>Interpreter</t>
  </si>
  <si>
    <t>Print/Copy/Graphics</t>
  </si>
  <si>
    <t>Honorariums/Stipend</t>
  </si>
  <si>
    <t>Laundry</t>
  </si>
  <si>
    <t>Commission Sales</t>
  </si>
  <si>
    <t>3000</t>
  </si>
  <si>
    <t>3002</t>
  </si>
  <si>
    <t>3013</t>
  </si>
  <si>
    <t>3016</t>
  </si>
  <si>
    <t>3019</t>
  </si>
  <si>
    <t>3032</t>
  </si>
  <si>
    <t>3033</t>
  </si>
  <si>
    <t>3035</t>
  </si>
  <si>
    <t>3036</t>
  </si>
  <si>
    <t>3037</t>
  </si>
  <si>
    <t>3038</t>
  </si>
  <si>
    <t>3040</t>
  </si>
  <si>
    <t>3041</t>
  </si>
  <si>
    <t>3043</t>
  </si>
  <si>
    <t>3044</t>
  </si>
  <si>
    <t>3045</t>
  </si>
  <si>
    <t>3049</t>
  </si>
  <si>
    <t>3050</t>
  </si>
  <si>
    <t>3055</t>
  </si>
  <si>
    <t>3057</t>
  </si>
  <si>
    <t>3058</t>
  </si>
  <si>
    <t>3059</t>
  </si>
  <si>
    <t>3064</t>
  </si>
  <si>
    <t>3066</t>
  </si>
  <si>
    <t>3067</t>
  </si>
  <si>
    <t>3068</t>
  </si>
  <si>
    <t>3069</t>
  </si>
  <si>
    <t>Hiland Mtn. Correctional</t>
  </si>
  <si>
    <t>Anvil Mtn. Correctional</t>
  </si>
  <si>
    <t>Television</t>
  </si>
  <si>
    <t>Electricity</t>
  </si>
  <si>
    <t>Conservation/Enviromental</t>
  </si>
  <si>
    <t>Employee Tuition</t>
  </si>
  <si>
    <t>Natural Gas/Propane</t>
  </si>
  <si>
    <t>Structure, Infrastructure and Land - Repairs/Maintenance</t>
  </si>
  <si>
    <t>Transport Services</t>
  </si>
  <si>
    <t>Fairbanks Correctional</t>
  </si>
  <si>
    <t>Information Technology Training</t>
  </si>
  <si>
    <t>Goose Creek Correctional</t>
  </si>
  <si>
    <t>Dental</t>
  </si>
  <si>
    <t>Program Management/Consulting</t>
  </si>
  <si>
    <t>Spring Creek Correctional</t>
  </si>
  <si>
    <t>Wildwood Correctional</t>
  </si>
  <si>
    <t>Interest Expense</t>
  </si>
  <si>
    <t>Safety Services</t>
  </si>
  <si>
    <t>Insurance/Bonds</t>
  </si>
  <si>
    <t>Other Wireless Charges</t>
  </si>
  <si>
    <t>Case Costs</t>
  </si>
  <si>
    <t>Pt. MacKenzie Correctional</t>
  </si>
  <si>
    <t>Heating Oil</t>
  </si>
  <si>
    <t>Lemon Creek Correctional</t>
  </si>
  <si>
    <t>Less: DOT RSA Laundry Services</t>
  </si>
  <si>
    <t>Settlement Legal Fees</t>
  </si>
  <si>
    <t>Palmer Correctional</t>
  </si>
  <si>
    <t>24-HRS Utilities</t>
  </si>
  <si>
    <t>Services</t>
  </si>
  <si>
    <t>Health &amp; Rehabilitation</t>
  </si>
  <si>
    <t>Less: Reimb. from Federal Public Protection: RSAT Grant</t>
  </si>
  <si>
    <t>Less: Alcohol Tax RSA (SCCC Men's Sub-Acute &amp; Juvenile Offender Pgm)</t>
  </si>
  <si>
    <t>Total Alder Revenue Report (budgeted RSA's)</t>
  </si>
  <si>
    <t>Scientific and Medical</t>
  </si>
  <si>
    <t>Grants</t>
  </si>
  <si>
    <t xml:space="preserve">Recidivism Reduction </t>
  </si>
  <si>
    <t>Expansion</t>
  </si>
  <si>
    <t xml:space="preserve">Prison System </t>
  </si>
  <si>
    <t>ck</t>
  </si>
  <si>
    <t>:</t>
  </si>
  <si>
    <t>:Sub Total</t>
  </si>
  <si>
    <t>Batterer's RSA</t>
  </si>
  <si>
    <t>Appr Type</t>
  </si>
  <si>
    <t>JCOM</t>
  </si>
  <si>
    <t>JADS</t>
  </si>
  <si>
    <t>JINT</t>
  </si>
  <si>
    <t>JRRE</t>
  </si>
  <si>
    <t>JREN</t>
  </si>
  <si>
    <t>JCOA</t>
  </si>
  <si>
    <t>JPAB</t>
  </si>
  <si>
    <t>Health &amp; Rehabilitation Services</t>
  </si>
  <si>
    <t>JHRS</t>
  </si>
  <si>
    <t>Appr Group</t>
  </si>
  <si>
    <t>ApprType</t>
  </si>
  <si>
    <t>JBHC</t>
  </si>
  <si>
    <t>JSAP</t>
  </si>
  <si>
    <t>Offender Habilitation Programs</t>
  </si>
  <si>
    <t>JOHP</t>
  </si>
  <si>
    <t>JEDP</t>
  </si>
  <si>
    <t>JPOP</t>
  </si>
  <si>
    <t>JTRN</t>
  </si>
  <si>
    <t>JAMC</t>
  </si>
  <si>
    <t>JGCC</t>
  </si>
  <si>
    <t>JLCC</t>
  </si>
  <si>
    <t>JYKC</t>
  </si>
  <si>
    <t>JPCC</t>
  </si>
  <si>
    <t>Decreased by RSAs</t>
  </si>
  <si>
    <t>JCIM</t>
  </si>
  <si>
    <t>JIDO</t>
  </si>
  <si>
    <t>JPSE</t>
  </si>
  <si>
    <t>JCLF</t>
  </si>
  <si>
    <t>Decreased by RSA</t>
  </si>
  <si>
    <t>JPOA</t>
  </si>
  <si>
    <t>JRRG</t>
  </si>
  <si>
    <t>SB64 PACE RSA</t>
  </si>
  <si>
    <t>JCOJ</t>
  </si>
  <si>
    <t>JPPD</t>
  </si>
  <si>
    <t>JSPP</t>
  </si>
  <si>
    <t>JOOS</t>
  </si>
  <si>
    <t>JELM</t>
  </si>
  <si>
    <t>JCRC</t>
  </si>
  <si>
    <t>JFAC</t>
  </si>
  <si>
    <t xml:space="preserve">Health &amp; Rehab Svcs: RSAT GRANT </t>
  </si>
  <si>
    <t>Health &amp; Rehab Svcs: RSAT RSA</t>
  </si>
  <si>
    <t>Budg /Un-budg - Offender Programs (3) RSAs</t>
  </si>
  <si>
    <t>JOFH</t>
  </si>
  <si>
    <t>Administration &amp; Support*</t>
  </si>
  <si>
    <t>JADS / JCOA
JCOM / JINT
JPAB / JREN
JRRE</t>
  </si>
  <si>
    <t>Note*: Includes SF Rent, Correctional Academy, and Parole Board Expenditues</t>
  </si>
  <si>
    <t>HEALTH &amp; REHABILITATION SERVICES</t>
  </si>
  <si>
    <t>OFFENDER HABILITATION PROGRAMS</t>
  </si>
  <si>
    <t xml:space="preserve">Fairbanks Correctional  </t>
  </si>
  <si>
    <t>Ketchikan Correctional</t>
  </si>
  <si>
    <t>Mat-Su Correctional</t>
  </si>
  <si>
    <t xml:space="preserve">Palmer Correctional </t>
  </si>
  <si>
    <t xml:space="preserve">Yukon Kuskokwim Correctional </t>
  </si>
  <si>
    <t>Decreased by 3 RSAs (ABE/CARL P/MOS)</t>
  </si>
  <si>
    <t>SB64 1st DUI</t>
  </si>
  <si>
    <r>
      <rPr>
        <b/>
        <i/>
        <sz val="10"/>
        <rFont val="Calibri"/>
        <family val="2"/>
      </rPr>
      <t>Add</t>
    </r>
    <r>
      <rPr>
        <b/>
        <sz val="10"/>
        <rFont val="Calibri"/>
        <family val="2"/>
      </rPr>
      <t xml:space="preserve">: </t>
    </r>
    <r>
      <rPr>
        <sz val="10"/>
        <rFont val="Calibri"/>
        <family val="2"/>
      </rPr>
      <t>Depreciation Calculation</t>
    </r>
  </si>
  <si>
    <t>Budgeted DOT/LCCC Laundry RSA</t>
  </si>
  <si>
    <t>Unbudgeted Step C / Step H RSAs</t>
  </si>
  <si>
    <t>JVEP</t>
  </si>
  <si>
    <t>Equipment &amp; Building Depreciation</t>
  </si>
  <si>
    <t>Health &amp; Rehab Svcs: SCCC Men's RSA</t>
  </si>
  <si>
    <t>INDIRECT COST</t>
  </si>
  <si>
    <t>DIRECT COST</t>
  </si>
  <si>
    <t>13 Institutions</t>
  </si>
  <si>
    <t>Facility Planning - Capital Improvement Program</t>
  </si>
  <si>
    <t>Offender Habilitation Programs RDU</t>
  </si>
  <si>
    <t>Health &amp; Rehabilitation Services RDU</t>
  </si>
  <si>
    <t>Regional &amp; Community Jails</t>
  </si>
  <si>
    <t>Probation &amp; Parole Director's Office</t>
  </si>
  <si>
    <t>State-wide Probation &amp; Parole</t>
  </si>
  <si>
    <t>Out of State Contractual</t>
  </si>
  <si>
    <t>TOTAL:</t>
  </si>
  <si>
    <t xml:space="preserve">Facilities Maintenance </t>
  </si>
  <si>
    <t>Administration &amp; Support RDU</t>
  </si>
  <si>
    <t>Recidivism Reduction Grant</t>
  </si>
  <si>
    <t>Inmate Transportation Unit</t>
  </si>
  <si>
    <t>Reconciliation to Actuals</t>
  </si>
  <si>
    <t>DOC Total Cost: ( By Appr Type Alder Report )</t>
  </si>
  <si>
    <t xml:space="preserve">        Less: DOT/Laundry RSA</t>
  </si>
  <si>
    <t>Less: DH&amp;S/ RSAT RSA</t>
  </si>
  <si>
    <t>Less: 3 Education RSAs</t>
  </si>
  <si>
    <t>Less: DPS PREA RSA</t>
  </si>
  <si>
    <t>Less: DPS Transportation RSA</t>
  </si>
  <si>
    <t>Grand 
Total</t>
  </si>
  <si>
    <t>Female</t>
  </si>
  <si>
    <t>Population</t>
  </si>
  <si>
    <t>INSTITUTION TOTAL</t>
  </si>
  <si>
    <t>Director, Administrative Services</t>
  </si>
  <si>
    <t>April Wilkerson</t>
  </si>
  <si>
    <t>Director, Admin. Services</t>
  </si>
  <si>
    <t>Division</t>
  </si>
  <si>
    <t>Human Resources</t>
  </si>
  <si>
    <t>Pre-Trial Services</t>
  </si>
  <si>
    <t>Sex Offender Managemnet Pr</t>
  </si>
  <si>
    <t>*PT. Mac separated from GCCC November 2016</t>
  </si>
  <si>
    <t>FY2017</t>
  </si>
  <si>
    <t>FY2017                                                                                                                                                      AVERAGE YEAR TO DATE INMATE POPULATION</t>
  </si>
  <si>
    <t>*PCC Closed end October 2016</t>
  </si>
  <si>
    <t>DAILY AVERAGE BY INSTITUTION BY SEX BY CRIME DEGREE: FY2017</t>
  </si>
  <si>
    <t>LOCATION</t>
  </si>
  <si>
    <t>Misd
Male Sent</t>
  </si>
  <si>
    <t>Misd 
Male Unsent</t>
  </si>
  <si>
    <t>Misd 
Female 
Sent</t>
  </si>
  <si>
    <t>Misd 
Female 
Unsent</t>
  </si>
  <si>
    <t>Felony 
Female 
Sent</t>
  </si>
  <si>
    <t>Felony
Female 
Unsent</t>
  </si>
  <si>
    <t>WILDWOOD TRANSITIONAL</t>
  </si>
  <si>
    <t>PHILLIPS AYAGNIRVIK TC</t>
  </si>
  <si>
    <t>CRC TOTAL</t>
  </si>
  <si>
    <t>EM TOTAL</t>
  </si>
  <si>
    <t>NORTH DAKOTA</t>
  </si>
  <si>
    <t>Budgeted</t>
  </si>
  <si>
    <t>Less: RSA Meals Youth Fac</t>
  </si>
  <si>
    <t>Travel / Moving Costs</t>
  </si>
  <si>
    <t xml:space="preserve">Budgeted RSA </t>
  </si>
  <si>
    <t xml:space="preserve">Budgeted MMM&amp;S/PCC </t>
  </si>
  <si>
    <t>Pretrial Services</t>
  </si>
  <si>
    <t>JPTS</t>
  </si>
  <si>
    <t>Pretrial Services Division</t>
  </si>
  <si>
    <t xml:space="preserve">        Less: DHSS 3 RSAs Youth Meals</t>
  </si>
  <si>
    <t>JAMC /JLCC/ JYKC</t>
  </si>
  <si>
    <t>(2 budgeted RSA's)</t>
  </si>
  <si>
    <t>Youth Meals (3) Budgeted RSAs</t>
  </si>
  <si>
    <t xml:space="preserve">        Less: GCCC Security DPS RS (Unbudgeted)</t>
  </si>
  <si>
    <t>JGCCC</t>
  </si>
  <si>
    <t>Unbudgeted DPS/GCCC Security</t>
  </si>
  <si>
    <t>Pretrial Services Unit</t>
  </si>
  <si>
    <t>2017COC</t>
  </si>
  <si>
    <t>2018 COC</t>
  </si>
  <si>
    <t>FY17</t>
  </si>
  <si>
    <t>FY18</t>
  </si>
  <si>
    <t>Increase in July due to Bethel vacant cases being assigned to Barrow for coverage</t>
  </si>
  <si>
    <t xml:space="preserve">* Average Daily Probationers / Parole Served for Fiscal Year 2017:  </t>
  </si>
  <si>
    <t>*</t>
  </si>
  <si>
    <t>2019 COC</t>
  </si>
  <si>
    <t>25</t>
  </si>
  <si>
    <t>FY2018</t>
  </si>
  <si>
    <t>FY2018                                                                                                                                                      AVERAGE YEAR TO DATE INMATE POPULATION</t>
  </si>
  <si>
    <t>Revised 10/15/18 lj</t>
  </si>
  <si>
    <t>Total Expenditures of FY2018</t>
  </si>
  <si>
    <t>By Individual Institution (Based on FY2018 Actuals)</t>
  </si>
  <si>
    <t>Total as of 6/30/18</t>
  </si>
  <si>
    <t>Aquired in FY2018</t>
  </si>
  <si>
    <t>FY2018 Vehicle Inventory Total</t>
  </si>
  <si>
    <t>Institution Director's Office (IDO)</t>
  </si>
  <si>
    <t xml:space="preserve">Wildwood Correctional </t>
  </si>
  <si>
    <t xml:space="preserve">Spring Creek Correctional </t>
  </si>
  <si>
    <t xml:space="preserve">Goose Creek Correctional </t>
  </si>
  <si>
    <t xml:space="preserve">Hiland Mtn. Correctional </t>
  </si>
  <si>
    <t xml:space="preserve">Mat-Su Correctional </t>
  </si>
  <si>
    <t xml:space="preserve">Fairbanks Correctional </t>
  </si>
  <si>
    <t xml:space="preserve">Ketchikan Correctional </t>
  </si>
  <si>
    <t xml:space="preserve">Lemon Creek Correctional </t>
  </si>
  <si>
    <t xml:space="preserve">Pt. Mackenzie Correctional </t>
  </si>
  <si>
    <t>Inmate Transportation</t>
  </si>
  <si>
    <t>Education Programs</t>
  </si>
  <si>
    <t>Probation &amp; Parole Director Office</t>
  </si>
  <si>
    <t>Behavioral Health Care</t>
  </si>
  <si>
    <t>CONV</t>
  </si>
  <si>
    <t>UUU (Unidentified)/IRIS CONV</t>
  </si>
  <si>
    <t xml:space="preserve">Juneau Admin Office / Anchorage </t>
  </si>
  <si>
    <t>Garment Shop HMCC</t>
  </si>
  <si>
    <t>Seward Furniture SCCC</t>
  </si>
  <si>
    <t>Major Med/Guard Hire</t>
  </si>
  <si>
    <t>Updated:  10/18/18 lj</t>
  </si>
  <si>
    <t xml:space="preserve">Wasilla Furniture GCCC </t>
  </si>
  <si>
    <t>Yukon Kuskokwim Correctional</t>
  </si>
  <si>
    <t>Revised 10/18/18 lj</t>
  </si>
  <si>
    <t>Updated: 10/18/18 lj</t>
  </si>
  <si>
    <t>AK Supplemental Benefit (SBS)</t>
  </si>
  <si>
    <t>$1482.75/mo</t>
  </si>
  <si>
    <t>Commodity/ Transfer</t>
  </si>
  <si>
    <t>Travel/Moving Cost</t>
  </si>
  <si>
    <t>2000/2003</t>
  </si>
  <si>
    <t>2000/2001</t>
  </si>
  <si>
    <t xml:space="preserve">KCC - FY18 No Unbudgeted Meals RS </t>
  </si>
  <si>
    <t>:2 RSA's</t>
  </si>
  <si>
    <t>Meals RS $70,065.00 / Laundry RS $302,805.50</t>
  </si>
  <si>
    <t>2000/2001/2004</t>
  </si>
  <si>
    <t>FY18: No Unb MMM&amp;S Transferred</t>
  </si>
  <si>
    <t>3001/3002</t>
  </si>
  <si>
    <t>Budgeted Meals RS $51,528</t>
  </si>
  <si>
    <t>Utility Costs: Based on Alder Report Expenditures by Location</t>
  </si>
  <si>
    <t>DOC 
Annual Cost</t>
  </si>
  <si>
    <t>Fixed Cost: (BIP $ 68,500 /PBP $ 106,200) @ DPS</t>
  </si>
  <si>
    <t>Revised 10/19/18 lj</t>
  </si>
  <si>
    <t>1001/1002/1004</t>
  </si>
  <si>
    <t>Grand Total of 6 components $ 57,925,921.03 BHC, PHC, HRDirector,Domestic V, Substance, Sex Offender)</t>
  </si>
  <si>
    <t>Less: Reimb Courts (Mental Health Court)</t>
  </si>
  <si>
    <t>Less: JSAP FED Public Protection</t>
  </si>
  <si>
    <t xml:space="preserve">Less: JBHC Alcohol Tax RSA (SCCC Men's Sub-Acute JAS) </t>
  </si>
  <si>
    <t>Less: JSAP RSAT &amp; Vivitrol RSA's</t>
  </si>
  <si>
    <t>Less: JEDP Carl Perkings RS</t>
  </si>
  <si>
    <t>Less: JEDP MOS RS</t>
  </si>
  <si>
    <t>Less: JEDP ABE/GED RS</t>
  </si>
  <si>
    <t>Total Alder Revenue Report (3 budgeted RS)</t>
  </si>
  <si>
    <t>Grand Total (HRS RDU) 6 components $ 57,925,921.03 ( BHC, PHC, HRDirector,Domestic V, Substance, Sex Offender) + RSA's</t>
  </si>
  <si>
    <t>Grand Total (OFH RDU) 2 components $ 1,497,481.33 ( Education Programs &amp; Vocational Education Programs)</t>
  </si>
  <si>
    <t>Institutions Director's Office (IDO)</t>
  </si>
  <si>
    <t>Less: JTRN Inmate Transport RS</t>
  </si>
  <si>
    <t>: Grand Total</t>
  </si>
  <si>
    <t xml:space="preserve">*Utility Cost included within each Institution </t>
  </si>
  <si>
    <t>:Total ALDER Report, includes PTS</t>
  </si>
  <si>
    <t>Less Consultants &amp; Contract Services:</t>
  </si>
  <si>
    <t>Transportation Unit</t>
  </si>
  <si>
    <t>Point Mackenzie Correctional</t>
  </si>
  <si>
    <t>Revenue Code</t>
  </si>
  <si>
    <t>No RSA in FY2018</t>
  </si>
  <si>
    <t>FY2018 100% Restricted</t>
  </si>
  <si>
    <t>No RS in FY2018</t>
  </si>
  <si>
    <t xml:space="preserve">        Less: DNR/MMM&amp;S RSA (Closed)</t>
  </si>
  <si>
    <t>FY19</t>
  </si>
  <si>
    <t xml:space="preserve">26 cases shifted to Kenai </t>
  </si>
  <si>
    <t>Cases shifted to Kodiak following PO III retirement</t>
  </si>
  <si>
    <t>Bethel cases returned to Bethel Office for supervision (May)</t>
  </si>
  <si>
    <t xml:space="preserve">* Average Daily Probationers / Parole Served for Fiscal Year 2018:  </t>
  </si>
  <si>
    <t>DAILY AVERAGE BY INSTITUTION BY SEX BY CRIME DEGREE: FY2018</t>
  </si>
  <si>
    <t>Misd
Male 
Sent</t>
  </si>
  <si>
    <t>Misd
Male
Unsent</t>
  </si>
  <si>
    <t>Misd
Female
Sent</t>
  </si>
  <si>
    <t>Misd
Female
Unsent</t>
  </si>
  <si>
    <t>Felony
Female
Sent</t>
  </si>
  <si>
    <t>Felony
Female
Unsent</t>
  </si>
  <si>
    <t>Grand
Total</t>
  </si>
  <si>
    <t>CORDOVA TWO</t>
  </si>
  <si>
    <t>KENAI TWO</t>
  </si>
  <si>
    <t>OOS TOTAL</t>
  </si>
  <si>
    <t>JULY 2017 TO JUNE 2018-NUMBER OF PERSONS</t>
  </si>
  <si>
    <t>JULY 2017 TO JUNE 2018--NUMBER OF MAN-DAYS</t>
  </si>
  <si>
    <t>COC 2019</t>
  </si>
  <si>
    <t>Average Daily Community Jail Population for Fiscal Year 2018</t>
  </si>
  <si>
    <t>Average Daily Institutional Population for Fiscal Year 2018</t>
  </si>
  <si>
    <t>Average Daily CRC Population for Fiscal Year 2018</t>
  </si>
  <si>
    <t>Average Daily Probationers/Parole Served for Fiscal Year 2018</t>
  </si>
  <si>
    <t>Annual Total Mandays for Fiscal Year 2018</t>
  </si>
  <si>
    <t>Average Daily Electronic Monitoring Population for Fiscal Year 2018</t>
  </si>
  <si>
    <t>Average Daily Out-of-State Population for Fiscal Year 2018</t>
  </si>
  <si>
    <t>1.604,161</t>
  </si>
  <si>
    <t>Revised 11/21/18 lj</t>
  </si>
  <si>
    <t>Notes: FY2015: Total Exp AR less SB64 PACE RSA, less SB64 1st DUI (JCOM)</t>
  </si>
  <si>
    <t>FY2015: Total Exp AR less SB64 PACE RSA, less SB64 1st DUI (JCOM)</t>
  </si>
  <si>
    <t>FY2018: Total Exp AR less Unbudgeted RS (JCOM) Revenue 5200 - Statutory Designated Program ($97,432.00)</t>
  </si>
  <si>
    <t>Revised:  11/28/18 lj</t>
  </si>
  <si>
    <t>Revised 11/28/18 lj</t>
  </si>
  <si>
    <t>Statutory Designated Program Receipts</t>
  </si>
  <si>
    <t xml:space="preserve">Cost decreased by Statutory Designated Programs - CRJ </t>
  </si>
  <si>
    <t>FY2018 Decreased by FED Receipts - Grants</t>
  </si>
  <si>
    <t>Federal Receipts - Grants</t>
  </si>
  <si>
    <t>Revised: 11/28/18 lj</t>
  </si>
  <si>
    <t>Less: Unbudgeted RSA Security</t>
  </si>
  <si>
    <t>FY18 Unbudgeted RS</t>
  </si>
  <si>
    <t>Less: JVEP Unbudgeted Step Grant RS</t>
  </si>
  <si>
    <t xml:space="preserve">FY18 Unbudgeted RS Step C </t>
  </si>
  <si>
    <t>All Budgeted/Unbudgeted RSA's</t>
  </si>
  <si>
    <t>Unbudgeted</t>
  </si>
  <si>
    <t>(3 budgeted RSA's) + Unbudgeted Step</t>
  </si>
  <si>
    <t>JEDP/JVEP</t>
  </si>
  <si>
    <t>Decreased by Unbud RSA's (Step C FY18</t>
  </si>
  <si>
    <t>Statutory Designated CRJ</t>
  </si>
  <si>
    <t>Federal Receipts</t>
  </si>
  <si>
    <t>Less: GCCC Unbudgeted</t>
  </si>
  <si>
    <t>Less: Education (3) RSAs , JVEP (unbudgeted)</t>
  </si>
  <si>
    <t>Less: 1 Voc Ed Programs RSA's (Unbudgeted)</t>
  </si>
  <si>
    <t>Revised: 11/29/18 lj</t>
  </si>
  <si>
    <t>* Pretrial Excluded not fully implemented during FY2018</t>
  </si>
  <si>
    <t>Adjusted/ Pretrial Not Fully Implemented</t>
  </si>
  <si>
    <t>Bank of America/One Time Payment Leasing GAX180169387</t>
  </si>
  <si>
    <t>Adjusted/SCCC BOA Leasing</t>
  </si>
  <si>
    <t>JSCC</t>
  </si>
  <si>
    <t>Notes:</t>
  </si>
  <si>
    <t>* FY18 PCC Removed - as PCC Closed $ 41,211,974</t>
  </si>
  <si>
    <t>FY18 PCC Closed - Exp Reduced</t>
  </si>
  <si>
    <t>Revised 11/29/18 lj</t>
  </si>
  <si>
    <t>Adjusted/PCC Due to Closure</t>
  </si>
  <si>
    <t>DAILY COST OF CARE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</si>
</sst>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0_);\(#,##0.0000\)"/>
    <numFmt numFmtId="165" formatCode="0.000"/>
    <numFmt numFmtId="166" formatCode="_(* #,##0_);_(* \(#,##0\);_(* &quot;-&quot;??_);_(@_)"/>
    <numFmt numFmtId="167" formatCode="_(&quot;$&quot;* #,##0.00_);_(&quot;$&quot;* \(#,##0.00\);_(&quot;$&quot;* &quot;-&quot;_);_(@_)"/>
    <numFmt numFmtId="168" formatCode="0.0000"/>
    <numFmt numFmtId="169" formatCode="_(&quot;$&quot;* #,##0_);_(&quot;$&quot;* \(#,##0\);_(&quot;$&quot;* &quot;-&quot;??_);_(@_)"/>
    <numFmt numFmtId="170" formatCode="&quot;$&quot;#,##0.00"/>
    <numFmt numFmtId="171" formatCode="&quot;$&quot;#,##0"/>
    <numFmt numFmtId="172" formatCode="0.0000%"/>
    <numFmt numFmtId="173" formatCode="_(&quot;$&quot;* #,##0.000_);_(&quot;$&quot;* \(#,##0.000\);_(&quot;$&quot;* &quot;-&quot;???_);_(@_)"/>
    <numFmt numFmtId="174" formatCode="mmmm\ d\,\ yyyy"/>
  </numFmts>
  <fonts count="11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i/>
      <sz val="10"/>
      <name val="Arial"/>
      <family val="2"/>
    </font>
    <font>
      <b/>
      <sz val="12"/>
      <name val="Arial"/>
      <family val="2"/>
    </font>
    <font>
      <sz val="12"/>
      <name val="Arial"/>
      <family val="2"/>
    </font>
    <font>
      <sz val="9"/>
      <name val="Arial"/>
      <family val="2"/>
    </font>
    <font>
      <sz val="11"/>
      <name val="Arial"/>
      <family val="2"/>
    </font>
    <font>
      <b/>
      <sz val="11"/>
      <name val="Arial"/>
      <family val="2"/>
    </font>
    <font>
      <sz val="8"/>
      <color indexed="81"/>
      <name val="Tahoma"/>
      <family val="2"/>
    </font>
    <font>
      <b/>
      <sz val="8"/>
      <color indexed="81"/>
      <name val="Tahoma"/>
      <family val="2"/>
    </font>
    <font>
      <b/>
      <sz val="9"/>
      <name val="Arial"/>
      <family val="2"/>
    </font>
    <font>
      <b/>
      <sz val="11"/>
      <color indexed="10"/>
      <name val="Arial"/>
      <family val="2"/>
    </font>
    <font>
      <b/>
      <sz val="11"/>
      <color indexed="48"/>
      <name val="Arial"/>
      <family val="2"/>
    </font>
    <font>
      <sz val="11"/>
      <color indexed="48"/>
      <name val="Arial"/>
      <family val="2"/>
    </font>
    <font>
      <b/>
      <sz val="10"/>
      <color indexed="10"/>
      <name val="Arial"/>
      <family val="2"/>
    </font>
    <font>
      <b/>
      <sz val="10"/>
      <color indexed="48"/>
      <name val="Arial"/>
      <family val="2"/>
    </font>
    <font>
      <b/>
      <sz val="11"/>
      <color indexed="12"/>
      <name val="Arial"/>
      <family val="2"/>
    </font>
    <font>
      <sz val="8"/>
      <name val="Arial"/>
      <family val="2"/>
    </font>
    <font>
      <b/>
      <sz val="8"/>
      <name val="Arial"/>
      <family val="2"/>
    </font>
    <font>
      <b/>
      <sz val="11"/>
      <color indexed="81"/>
      <name val="Tahoma"/>
      <family val="2"/>
    </font>
    <font>
      <sz val="11"/>
      <color indexed="81"/>
      <name val="Tahoma"/>
      <family val="2"/>
    </font>
    <font>
      <b/>
      <i/>
      <sz val="10"/>
      <name val="Arial"/>
      <family val="2"/>
    </font>
    <font>
      <sz val="10"/>
      <name val="Arial"/>
      <family val="2"/>
    </font>
    <font>
      <sz val="11"/>
      <color indexed="8"/>
      <name val="Calibri"/>
      <family val="2"/>
    </font>
    <font>
      <i/>
      <sz val="8"/>
      <name val="Arial"/>
      <family val="2"/>
    </font>
    <font>
      <u/>
      <sz val="10"/>
      <color indexed="60"/>
      <name val="Arial"/>
      <family val="2"/>
    </font>
    <font>
      <sz val="10"/>
      <color indexed="10"/>
      <name val="Arial"/>
      <family val="2"/>
    </font>
    <font>
      <sz val="9"/>
      <color indexed="81"/>
      <name val="Tahoma"/>
      <family val="2"/>
    </font>
    <font>
      <b/>
      <sz val="9"/>
      <color indexed="81"/>
      <name val="Tahoma"/>
      <family val="2"/>
    </font>
    <font>
      <u/>
      <sz val="8"/>
      <color indexed="81"/>
      <name val="Tahoma"/>
      <family val="2"/>
    </font>
    <font>
      <b/>
      <u/>
      <sz val="8"/>
      <color indexed="81"/>
      <name val="Tahoma"/>
      <family val="2"/>
    </font>
    <font>
      <b/>
      <sz val="10"/>
      <name val="Calibri"/>
      <family val="2"/>
    </font>
    <font>
      <b/>
      <i/>
      <sz val="10"/>
      <name val="Calibri"/>
      <family val="2"/>
    </font>
    <font>
      <b/>
      <sz val="10"/>
      <name val="Arial"/>
      <family val="2"/>
    </font>
    <font>
      <sz val="11"/>
      <color indexed="8"/>
      <name val="Calibri"/>
      <family val="2"/>
    </font>
    <font>
      <b/>
      <sz val="11"/>
      <color indexed="8"/>
      <name val="Calibri"/>
      <family val="2"/>
    </font>
    <font>
      <sz val="10"/>
      <name val="Calibri"/>
      <family val="2"/>
    </font>
    <font>
      <b/>
      <sz val="12"/>
      <name val="Calibri"/>
      <family val="2"/>
    </font>
    <font>
      <sz val="12"/>
      <name val="Calibri"/>
      <family val="2"/>
    </font>
    <font>
      <sz val="11"/>
      <name val="Calibri"/>
      <family val="2"/>
    </font>
    <font>
      <b/>
      <sz val="11"/>
      <name val="Calibri"/>
      <family val="2"/>
    </font>
    <font>
      <i/>
      <sz val="11"/>
      <name val="Calibri"/>
      <family val="2"/>
    </font>
    <font>
      <u/>
      <sz val="12"/>
      <name val="Calibri"/>
      <family val="2"/>
    </font>
    <font>
      <i/>
      <sz val="10"/>
      <name val="Calibri"/>
      <family val="2"/>
    </font>
    <font>
      <b/>
      <sz val="10"/>
      <name val="Calibri"/>
      <family val="2"/>
    </font>
    <font>
      <i/>
      <sz val="12"/>
      <name val="Calibri"/>
      <family val="2"/>
    </font>
    <font>
      <i/>
      <sz val="8"/>
      <name val="Calibri"/>
      <family val="2"/>
    </font>
    <font>
      <b/>
      <i/>
      <sz val="12"/>
      <name val="Calibri"/>
      <family val="2"/>
    </font>
    <font>
      <b/>
      <sz val="8"/>
      <name val="Calibri"/>
      <family val="2"/>
    </font>
    <font>
      <b/>
      <sz val="11"/>
      <color indexed="8"/>
      <name val="Calibri"/>
      <family val="2"/>
    </font>
    <font>
      <b/>
      <i/>
      <sz val="11"/>
      <name val="Calibri"/>
      <family val="2"/>
    </font>
    <font>
      <b/>
      <i/>
      <sz val="10"/>
      <name val="Calibri"/>
      <family val="2"/>
    </font>
    <font>
      <b/>
      <i/>
      <sz val="8"/>
      <name val="Calibri"/>
      <family val="2"/>
    </font>
    <font>
      <sz val="8"/>
      <name val="Calibri"/>
      <family val="2"/>
    </font>
    <font>
      <b/>
      <i/>
      <sz val="14"/>
      <name val="Calibri"/>
      <family val="2"/>
    </font>
    <font>
      <i/>
      <sz val="14"/>
      <name val="Calibri"/>
      <family val="2"/>
    </font>
    <font>
      <sz val="10"/>
      <color indexed="8"/>
      <name val="Calibri"/>
      <family val="2"/>
    </font>
    <font>
      <b/>
      <sz val="10"/>
      <color indexed="8"/>
      <name val="Calibri"/>
      <family val="2"/>
    </font>
    <font>
      <b/>
      <i/>
      <sz val="9"/>
      <name val="Calibri"/>
      <family val="2"/>
    </font>
    <font>
      <sz val="9"/>
      <name val="Calibri"/>
      <family val="2"/>
    </font>
    <font>
      <sz val="10"/>
      <color indexed="10"/>
      <name val="Calibri"/>
      <family val="2"/>
    </font>
    <font>
      <sz val="8"/>
      <name val="Arial"/>
      <family val="2"/>
    </font>
    <font>
      <b/>
      <sz val="10"/>
      <color indexed="81"/>
      <name val="Tahoma"/>
      <family val="2"/>
    </font>
    <font>
      <b/>
      <sz val="11"/>
      <color indexed="52"/>
      <name val="Arial"/>
      <family val="2"/>
    </font>
    <font>
      <u/>
      <sz val="10"/>
      <name val="Arial"/>
      <family val="2"/>
    </font>
    <font>
      <sz val="10"/>
      <color indexed="8"/>
      <name val="Arial"/>
      <family val="2"/>
    </font>
    <font>
      <b/>
      <i/>
      <sz val="11"/>
      <color indexed="30"/>
      <name val="Arial"/>
      <family val="2"/>
    </font>
    <font>
      <b/>
      <i/>
      <sz val="12"/>
      <color indexed="30"/>
      <name val="Arial"/>
      <family val="2"/>
    </font>
    <font>
      <sz val="8"/>
      <name val="Arial"/>
      <family val="2"/>
    </font>
    <font>
      <b/>
      <i/>
      <sz val="12"/>
      <name val="Arial"/>
      <family val="2"/>
    </font>
    <font>
      <i/>
      <sz val="11"/>
      <name val="Arial"/>
      <family val="2"/>
    </font>
    <font>
      <i/>
      <sz val="12"/>
      <name val="Arial"/>
      <family val="2"/>
    </font>
    <font>
      <i/>
      <sz val="11"/>
      <color indexed="10"/>
      <name val="Arial"/>
      <family val="2"/>
    </font>
    <font>
      <i/>
      <sz val="11"/>
      <color indexed="12"/>
      <name val="Arial"/>
      <family val="2"/>
    </font>
    <font>
      <i/>
      <sz val="11"/>
      <color indexed="48"/>
      <name val="Arial"/>
      <family val="2"/>
    </font>
    <font>
      <b/>
      <sz val="7"/>
      <color indexed="4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i/>
      <sz val="11"/>
      <color theme="1"/>
      <name val="Calibri"/>
      <family val="2"/>
      <scheme val="minor"/>
    </font>
    <font>
      <sz val="10"/>
      <color rgb="FF000000"/>
      <name val="Arial"/>
      <family val="2"/>
    </font>
    <font>
      <sz val="10"/>
      <color rgb="FF000000"/>
      <name val="Arial"/>
      <family val="2"/>
    </font>
    <font>
      <sz val="10"/>
      <color indexed="62"/>
      <name val="Arial"/>
      <family val="2"/>
    </font>
    <font>
      <b/>
      <sz val="10"/>
      <color rgb="FF000000"/>
      <name val="Arial"/>
      <family val="2"/>
    </font>
    <font>
      <sz val="10"/>
      <color rgb="FFFF0000"/>
      <name val="Arial"/>
      <family val="2"/>
    </font>
    <font>
      <i/>
      <sz val="10"/>
      <color rgb="FF000000"/>
      <name val="Arial"/>
      <family val="2"/>
    </font>
    <font>
      <b/>
      <i/>
      <sz val="10"/>
      <color indexed="62"/>
      <name val="Arial"/>
      <family val="2"/>
    </font>
    <font>
      <b/>
      <i/>
      <sz val="10"/>
      <color indexed="17"/>
      <name val="Arial"/>
      <family val="2"/>
    </font>
    <font>
      <i/>
      <sz val="9"/>
      <name val="Arial"/>
      <family val="2"/>
    </font>
    <font>
      <b/>
      <i/>
      <sz val="9"/>
      <color indexed="81"/>
      <name val="Tahoma"/>
      <family val="2"/>
    </font>
    <font>
      <i/>
      <sz val="9"/>
      <name val="Calibri"/>
      <family val="2"/>
    </font>
    <font>
      <b/>
      <i/>
      <u/>
      <sz val="8"/>
      <color indexed="81"/>
      <name val="Tahoma"/>
      <family val="2"/>
    </font>
    <font>
      <i/>
      <sz val="10"/>
      <color rgb="FFFF0000"/>
      <name val="Arial"/>
      <family val="2"/>
    </font>
    <font>
      <b/>
      <i/>
      <u/>
      <sz val="10"/>
      <name val="Calibri"/>
      <family val="2"/>
    </font>
  </fonts>
  <fills count="54">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51"/>
        <bgColor indexed="64"/>
      </patternFill>
    </fill>
    <fill>
      <patternFill patternType="solid">
        <fgColor indexed="18"/>
        <bgColor indexed="64"/>
      </patternFill>
    </fill>
    <fill>
      <patternFill patternType="solid">
        <fgColor indexed="43"/>
        <bgColor indexed="64"/>
      </patternFill>
    </fill>
    <fill>
      <patternFill patternType="solid">
        <fgColor indexed="27"/>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92D050"/>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indexed="11"/>
        <bgColor indexed="64"/>
      </patternFill>
    </fill>
    <fill>
      <patternFill patternType="solid">
        <fgColor rgb="FFFFFF00"/>
        <bgColor indexed="64"/>
      </patternFill>
    </fill>
    <fill>
      <patternFill patternType="solid">
        <fgColor rgb="FFCCFFCC"/>
        <bgColor indexed="64"/>
      </patternFill>
    </fill>
    <fill>
      <patternFill patternType="solid">
        <fgColor rgb="FFFFFFCC"/>
        <bgColor indexed="64"/>
      </patternFill>
    </fill>
    <fill>
      <patternFill patternType="solid">
        <fgColor theme="9" tint="0.79998168889431442"/>
        <bgColor indexed="64"/>
      </patternFill>
    </fill>
  </fills>
  <borders count="1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double">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top/>
      <bottom/>
      <diagonal/>
    </border>
    <border>
      <left/>
      <right style="thin">
        <color indexed="64"/>
      </right>
      <top/>
      <bottom/>
      <diagonal/>
    </border>
    <border>
      <left/>
      <right style="thin">
        <color indexed="64"/>
      </right>
      <top style="medium">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right/>
      <top style="thin">
        <color indexed="64"/>
      </top>
      <bottom/>
      <diagonal/>
    </border>
    <border>
      <left style="thin">
        <color indexed="64"/>
      </left>
      <right/>
      <top/>
      <bottom style="double">
        <color indexed="64"/>
      </bottom>
      <diagonal/>
    </border>
    <border>
      <left/>
      <right/>
      <top style="medium">
        <color indexed="64"/>
      </top>
      <bottom style="double">
        <color indexed="64"/>
      </bottom>
      <diagonal/>
    </border>
    <border>
      <left/>
      <right/>
      <top style="double">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medium">
        <color indexed="64"/>
      </top>
      <bottom style="double">
        <color indexed="64"/>
      </bottom>
      <diagonal/>
    </border>
    <border>
      <left/>
      <right/>
      <top/>
      <bottom style="double">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double">
        <color indexed="64"/>
      </top>
      <bottom style="medium">
        <color indexed="64"/>
      </bottom>
      <diagonal/>
    </border>
    <border>
      <left style="thin">
        <color indexed="64"/>
      </left>
      <right style="medium">
        <color indexed="64"/>
      </right>
      <top style="thin">
        <color indexed="64"/>
      </top>
      <bottom/>
      <diagonal/>
    </border>
    <border>
      <left style="double">
        <color indexed="64"/>
      </left>
      <right style="thin">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8"/>
      </left>
      <right/>
      <top style="thin">
        <color indexed="8"/>
      </top>
      <bottom/>
      <diagonal/>
    </border>
    <border>
      <left style="medium">
        <color indexed="64"/>
      </left>
      <right style="medium">
        <color indexed="64"/>
      </right>
      <top style="thin">
        <color indexed="64"/>
      </top>
      <bottom/>
      <diagonal/>
    </border>
    <border>
      <left style="thin">
        <color rgb="FFC1C1C1"/>
      </left>
      <right style="thin">
        <color rgb="FFC1C1C1"/>
      </right>
      <top style="thin">
        <color rgb="FFC1C1C1"/>
      </top>
      <bottom style="thin">
        <color rgb="FFC1C1C1"/>
      </bottom>
      <diagonal/>
    </border>
    <border>
      <left style="medium">
        <color rgb="FF000000"/>
      </left>
      <right style="thin">
        <color rgb="FFC1C1C1"/>
      </right>
      <top style="medium">
        <color rgb="FF000000"/>
      </top>
      <bottom style="thin">
        <color rgb="FFC1C1C1"/>
      </bottom>
      <diagonal/>
    </border>
    <border>
      <left style="thin">
        <color rgb="FFC1C1C1"/>
      </left>
      <right style="thin">
        <color rgb="FFC1C1C1"/>
      </right>
      <top style="medium">
        <color rgb="FF000000"/>
      </top>
      <bottom style="thin">
        <color rgb="FFC1C1C1"/>
      </bottom>
      <diagonal/>
    </border>
    <border>
      <left style="thin">
        <color rgb="FFC1C1C1"/>
      </left>
      <right style="medium">
        <color rgb="FF000000"/>
      </right>
      <top style="medium">
        <color rgb="FF000000"/>
      </top>
      <bottom style="thin">
        <color rgb="FFC1C1C1"/>
      </bottom>
      <diagonal/>
    </border>
    <border>
      <left style="medium">
        <color rgb="FF000000"/>
      </left>
      <right style="thin">
        <color rgb="FFC1C1C1"/>
      </right>
      <top style="thin">
        <color rgb="FFC1C1C1"/>
      </top>
      <bottom style="thin">
        <color rgb="FFC1C1C1"/>
      </bottom>
      <diagonal/>
    </border>
    <border>
      <left style="thin">
        <color rgb="FFC1C1C1"/>
      </left>
      <right style="medium">
        <color rgb="FF000000"/>
      </right>
      <top style="thin">
        <color rgb="FFC1C1C1"/>
      </top>
      <bottom style="thin">
        <color rgb="FFC1C1C1"/>
      </bottom>
      <diagonal/>
    </border>
    <border>
      <left style="medium">
        <color rgb="FF000000"/>
      </left>
      <right style="thin">
        <color rgb="FFC1C1C1"/>
      </right>
      <top style="thin">
        <color rgb="FFC1C1C1"/>
      </top>
      <bottom/>
      <diagonal/>
    </border>
    <border>
      <left style="thin">
        <color rgb="FFC1C1C1"/>
      </left>
      <right style="thin">
        <color rgb="FFC1C1C1"/>
      </right>
      <top style="thin">
        <color rgb="FFC1C1C1"/>
      </top>
      <bottom/>
      <diagonal/>
    </border>
    <border>
      <left style="thin">
        <color rgb="FFC1C1C1"/>
      </left>
      <right style="medium">
        <color rgb="FF000000"/>
      </right>
      <top style="thin">
        <color rgb="FFC1C1C1"/>
      </top>
      <bottom/>
      <diagonal/>
    </border>
    <border>
      <left style="medium">
        <color rgb="FF000000"/>
      </left>
      <right style="thin">
        <color rgb="FFC1C1C1"/>
      </right>
      <top/>
      <bottom style="thin">
        <color rgb="FFC1C1C1"/>
      </bottom>
      <diagonal/>
    </border>
    <border>
      <left style="thin">
        <color rgb="FFC1C1C1"/>
      </left>
      <right style="thin">
        <color rgb="FFC1C1C1"/>
      </right>
      <top/>
      <bottom style="thin">
        <color rgb="FFC1C1C1"/>
      </bottom>
      <diagonal/>
    </border>
    <border>
      <left style="thin">
        <color rgb="FFC1C1C1"/>
      </left>
      <right style="medium">
        <color rgb="FF000000"/>
      </right>
      <top/>
      <bottom style="thin">
        <color rgb="FFC1C1C1"/>
      </bottom>
      <diagonal/>
    </border>
    <border>
      <left style="thin">
        <color indexed="64"/>
      </left>
      <right style="thin">
        <color rgb="FFC1C1C1"/>
      </right>
      <top style="thin">
        <color indexed="64"/>
      </top>
      <bottom style="thin">
        <color indexed="64"/>
      </bottom>
      <diagonal/>
    </border>
    <border>
      <left style="thin">
        <color rgb="FFC1C1C1"/>
      </left>
      <right style="thin">
        <color rgb="FFC1C1C1"/>
      </right>
      <top style="thin">
        <color indexed="64"/>
      </top>
      <bottom style="thin">
        <color indexed="64"/>
      </bottom>
      <diagonal/>
    </border>
    <border>
      <left style="thin">
        <color rgb="FFC1C1C1"/>
      </left>
      <right style="thin">
        <color indexed="64"/>
      </right>
      <top style="thin">
        <color indexed="64"/>
      </top>
      <bottom style="thin">
        <color indexed="64"/>
      </bottom>
      <diagonal/>
    </border>
    <border>
      <left/>
      <right style="medium">
        <color indexed="64"/>
      </right>
      <top style="thin">
        <color indexed="64"/>
      </top>
      <bottom/>
      <diagonal/>
    </border>
    <border>
      <left/>
      <right/>
      <top/>
      <bottom style="thick">
        <color auto="1"/>
      </bottom>
      <diagonal/>
    </border>
    <border>
      <left style="medium">
        <color rgb="FF000000"/>
      </left>
      <right style="thin">
        <color rgb="FFC1C1C1"/>
      </right>
      <top style="medium">
        <color rgb="FF000000"/>
      </top>
      <bottom style="medium">
        <color rgb="FF000000"/>
      </bottom>
      <diagonal/>
    </border>
    <border>
      <left style="thin">
        <color rgb="FFC1C1C1"/>
      </left>
      <right style="thin">
        <color rgb="FFC1C1C1"/>
      </right>
      <top style="medium">
        <color rgb="FF000000"/>
      </top>
      <bottom style="medium">
        <color rgb="FF000000"/>
      </bottom>
      <diagonal/>
    </border>
    <border>
      <left style="thin">
        <color rgb="FFC1C1C1"/>
      </left>
      <right style="medium">
        <color rgb="FF000000"/>
      </right>
      <top style="medium">
        <color rgb="FF000000"/>
      </top>
      <bottom style="medium">
        <color rgb="FF000000"/>
      </bottom>
      <diagonal/>
    </border>
    <border>
      <left style="thin">
        <color rgb="FFC1C1C1"/>
      </left>
      <right style="medium">
        <color rgb="FF000000"/>
      </right>
      <top/>
      <bottom/>
      <diagonal/>
    </border>
    <border>
      <left style="medium">
        <color indexed="64"/>
      </left>
      <right/>
      <top style="thin">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s>
  <cellStyleXfs count="140">
    <xf numFmtId="0" fontId="0" fillId="0" borderId="0"/>
    <xf numFmtId="0" fontId="80" fillId="9" borderId="0" applyNumberFormat="0" applyBorder="0" applyAlignment="0" applyProtection="0"/>
    <xf numFmtId="0" fontId="80" fillId="10" borderId="0" applyNumberFormat="0" applyBorder="0" applyAlignment="0" applyProtection="0"/>
    <xf numFmtId="0" fontId="80" fillId="11" borderId="0" applyNumberFormat="0" applyBorder="0" applyAlignment="0" applyProtection="0"/>
    <xf numFmtId="0" fontId="80" fillId="12" borderId="0" applyNumberFormat="0" applyBorder="0" applyAlignment="0" applyProtection="0"/>
    <xf numFmtId="0" fontId="80" fillId="13" borderId="0" applyNumberFormat="0" applyBorder="0" applyAlignment="0" applyProtection="0"/>
    <xf numFmtId="0" fontId="80" fillId="14" borderId="0" applyNumberFormat="0" applyBorder="0" applyAlignment="0" applyProtection="0"/>
    <xf numFmtId="0" fontId="80" fillId="15" borderId="0" applyNumberFormat="0" applyBorder="0" applyAlignment="0" applyProtection="0"/>
    <xf numFmtId="0" fontId="80" fillId="16" borderId="0" applyNumberFormat="0" applyBorder="0" applyAlignment="0" applyProtection="0"/>
    <xf numFmtId="0" fontId="80" fillId="17" borderId="0" applyNumberFormat="0" applyBorder="0" applyAlignment="0" applyProtection="0"/>
    <xf numFmtId="0" fontId="80" fillId="18" borderId="0" applyNumberFormat="0" applyBorder="0" applyAlignment="0" applyProtection="0"/>
    <xf numFmtId="0" fontId="80" fillId="19" borderId="0" applyNumberFormat="0" applyBorder="0" applyAlignment="0" applyProtection="0"/>
    <xf numFmtId="0" fontId="80" fillId="20" borderId="0" applyNumberFormat="0" applyBorder="0" applyAlignment="0" applyProtection="0"/>
    <xf numFmtId="0" fontId="81" fillId="21" borderId="0" applyNumberFormat="0" applyBorder="0" applyAlignment="0" applyProtection="0"/>
    <xf numFmtId="0" fontId="81" fillId="22" borderId="0" applyNumberFormat="0" applyBorder="0" applyAlignment="0" applyProtection="0"/>
    <xf numFmtId="0" fontId="81" fillId="23" borderId="0" applyNumberFormat="0" applyBorder="0" applyAlignment="0" applyProtection="0"/>
    <xf numFmtId="0" fontId="81" fillId="24" borderId="0" applyNumberFormat="0" applyBorder="0" applyAlignment="0" applyProtection="0"/>
    <xf numFmtId="0" fontId="81" fillId="25" borderId="0" applyNumberFormat="0" applyBorder="0" applyAlignment="0" applyProtection="0"/>
    <xf numFmtId="0" fontId="81" fillId="26" borderId="0" applyNumberFormat="0" applyBorder="0" applyAlignment="0" applyProtection="0"/>
    <xf numFmtId="0" fontId="81" fillId="27" borderId="0" applyNumberFormat="0" applyBorder="0" applyAlignment="0" applyProtection="0"/>
    <xf numFmtId="0" fontId="81" fillId="28"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81" fillId="31" borderId="0" applyNumberFormat="0" applyBorder="0" applyAlignment="0" applyProtection="0"/>
    <xf numFmtId="0" fontId="81" fillId="32" borderId="0" applyNumberFormat="0" applyBorder="0" applyAlignment="0" applyProtection="0"/>
    <xf numFmtId="0" fontId="82" fillId="33" borderId="0" applyNumberFormat="0" applyBorder="0" applyAlignment="0" applyProtection="0"/>
    <xf numFmtId="0" fontId="83" fillId="34" borderId="92" applyNumberFormat="0" applyAlignment="0" applyProtection="0"/>
    <xf numFmtId="0" fontId="84" fillId="35" borderId="93" applyNumberFormat="0" applyAlignment="0" applyProtection="0"/>
    <xf numFmtId="43" fontId="5" fillId="0" borderId="0" applyFont="0" applyFill="0" applyBorder="0" applyAlignment="0" applyProtection="0"/>
    <xf numFmtId="43" fontId="26"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27" fillId="0" borderId="0" applyFont="0" applyFill="0" applyBorder="0" applyAlignment="0" applyProtection="0"/>
    <xf numFmtId="0" fontId="85" fillId="0" borderId="0" applyNumberFormat="0" applyFill="0" applyBorder="0" applyAlignment="0" applyProtection="0"/>
    <xf numFmtId="0" fontId="86" fillId="36" borderId="0" applyNumberFormat="0" applyBorder="0" applyAlignment="0" applyProtection="0"/>
    <xf numFmtId="0" fontId="87" fillId="0" borderId="94" applyNumberFormat="0" applyFill="0" applyAlignment="0" applyProtection="0"/>
    <xf numFmtId="0" fontId="88" fillId="0" borderId="95" applyNumberFormat="0" applyFill="0" applyAlignment="0" applyProtection="0"/>
    <xf numFmtId="0" fontId="89" fillId="0" borderId="96" applyNumberFormat="0" applyFill="0" applyAlignment="0" applyProtection="0"/>
    <xf numFmtId="0" fontId="89" fillId="0" borderId="0" applyNumberFormat="0" applyFill="0" applyBorder="0" applyAlignment="0" applyProtection="0"/>
    <xf numFmtId="0" fontId="90" fillId="37" borderId="92" applyNumberFormat="0" applyAlignment="0" applyProtection="0"/>
    <xf numFmtId="0" fontId="91" fillId="0" borderId="97" applyNumberFormat="0" applyFill="0" applyAlignment="0" applyProtection="0"/>
    <xf numFmtId="0" fontId="92" fillId="38" borderId="0" applyNumberFormat="0" applyBorder="0" applyAlignment="0" applyProtection="0"/>
    <xf numFmtId="0" fontId="80" fillId="0" borderId="0"/>
    <xf numFmtId="0" fontId="26" fillId="0" borderId="0"/>
    <xf numFmtId="0" fontId="5" fillId="0" borderId="0"/>
    <xf numFmtId="0" fontId="5" fillId="0" borderId="0"/>
    <xf numFmtId="0" fontId="27" fillId="0" borderId="0"/>
    <xf numFmtId="0" fontId="5" fillId="0" borderId="0"/>
    <xf numFmtId="0" fontId="5" fillId="0" borderId="0"/>
    <xf numFmtId="0" fontId="5" fillId="0" borderId="0">
      <alignment wrapText="1"/>
    </xf>
    <xf numFmtId="0" fontId="5" fillId="0" borderId="0">
      <alignment wrapText="1"/>
    </xf>
    <xf numFmtId="0" fontId="5" fillId="0" borderId="0">
      <alignment wrapText="1"/>
    </xf>
    <xf numFmtId="0" fontId="27" fillId="39" borderId="98" applyNumberFormat="0" applyFont="0" applyAlignment="0" applyProtection="0"/>
    <xf numFmtId="0" fontId="38" fillId="39" borderId="98" applyNumberFormat="0" applyFont="0" applyAlignment="0" applyProtection="0"/>
    <xf numFmtId="0" fontId="27" fillId="39" borderId="98" applyNumberFormat="0" applyFont="0" applyAlignment="0" applyProtection="0"/>
    <xf numFmtId="0" fontId="93" fillId="34" borderId="99" applyNumberFormat="0" applyAlignment="0" applyProtection="0"/>
    <xf numFmtId="0" fontId="94" fillId="0" borderId="0" applyNumberFormat="0" applyFill="0" applyBorder="0" applyAlignment="0" applyProtection="0"/>
    <xf numFmtId="0" fontId="95" fillId="0" borderId="100" applyNumberFormat="0" applyFill="0" applyAlignment="0" applyProtection="0"/>
    <xf numFmtId="0" fontId="96" fillId="0" borderId="0" applyNumberFormat="0" applyFill="0" applyBorder="0" applyAlignment="0" applyProtection="0"/>
    <xf numFmtId="0" fontId="98" fillId="0" borderId="0"/>
    <xf numFmtId="43" fontId="98" fillId="0" borderId="0" applyFont="0" applyFill="0" applyBorder="0" applyAlignment="0" applyProtection="0"/>
    <xf numFmtId="44" fontId="98" fillId="0" borderId="0" applyFont="0" applyFill="0" applyBorder="0" applyAlignment="0" applyProtection="0"/>
    <xf numFmtId="0" fontId="98" fillId="0" borderId="0"/>
    <xf numFmtId="0" fontId="98" fillId="0" borderId="0"/>
    <xf numFmtId="0" fontId="99" fillId="0" borderId="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0" borderId="0"/>
    <xf numFmtId="0" fontId="2" fillId="0" borderId="0"/>
    <xf numFmtId="0" fontId="2" fillId="0" borderId="0"/>
    <xf numFmtId="0" fontId="2" fillId="0" borderId="0"/>
    <xf numFmtId="0" fontId="2" fillId="39" borderId="98" applyNumberFormat="0" applyFont="0" applyAlignment="0" applyProtection="0"/>
    <xf numFmtId="0" fontId="2" fillId="9" borderId="0" applyNumberFormat="0" applyBorder="0" applyAlignment="0" applyProtection="0"/>
    <xf numFmtId="0" fontId="2" fillId="15" borderId="0" applyNumberFormat="0" applyBorder="0" applyAlignment="0" applyProtection="0"/>
    <xf numFmtId="0" fontId="2" fillId="10" borderId="0" applyNumberFormat="0" applyBorder="0" applyAlignment="0" applyProtection="0"/>
    <xf numFmtId="0" fontId="2" fillId="16" borderId="0" applyNumberFormat="0" applyBorder="0" applyAlignment="0" applyProtection="0"/>
    <xf numFmtId="0" fontId="2" fillId="11"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0" borderId="0" applyNumberFormat="0" applyBorder="0" applyAlignment="0" applyProtection="0"/>
    <xf numFmtId="43" fontId="2"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0" fontId="2" fillId="0" borderId="0"/>
    <xf numFmtId="0" fontId="98" fillId="0" borderId="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0" borderId="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0" borderId="0"/>
  </cellStyleXfs>
  <cellXfs count="1083">
    <xf numFmtId="0" fontId="0" fillId="0" borderId="0" xfId="0"/>
    <xf numFmtId="0" fontId="0" fillId="0" borderId="1" xfId="0" applyBorder="1"/>
    <xf numFmtId="0" fontId="4" fillId="0" borderId="2" xfId="0" applyFont="1" applyBorder="1" applyAlignment="1">
      <alignment horizontal="center" vertical="center"/>
    </xf>
    <xf numFmtId="1" fontId="8" fillId="0" borderId="1" xfId="0" applyNumberFormat="1" applyFont="1" applyBorder="1" applyAlignment="1">
      <alignment horizontal="center"/>
    </xf>
    <xf numFmtId="41" fontId="8" fillId="0" borderId="1" xfId="0" applyNumberFormat="1" applyFont="1" applyBorder="1" applyAlignment="1">
      <alignment horizontal="center"/>
    </xf>
    <xf numFmtId="3" fontId="8" fillId="0" borderId="1" xfId="0" applyNumberFormat="1" applyFont="1" applyBorder="1" applyAlignment="1">
      <alignment horizontal="center"/>
    </xf>
    <xf numFmtId="3" fontId="8" fillId="0" borderId="3" xfId="0" applyNumberFormat="1" applyFont="1" applyBorder="1" applyAlignment="1">
      <alignment horizontal="center"/>
    </xf>
    <xf numFmtId="3" fontId="8" fillId="0" borderId="4" xfId="0" applyNumberFormat="1" applyFont="1" applyBorder="1" applyAlignment="1">
      <alignment horizontal="center"/>
    </xf>
    <xf numFmtId="3" fontId="8" fillId="0" borderId="5" xfId="0" applyNumberFormat="1" applyFont="1" applyBorder="1" applyAlignment="1">
      <alignment horizontal="center"/>
    </xf>
    <xf numFmtId="3" fontId="7" fillId="0" borderId="6" xfId="0" applyNumberFormat="1" applyFont="1" applyBorder="1" applyAlignment="1">
      <alignment horizontal="center"/>
    </xf>
    <xf numFmtId="0" fontId="7" fillId="0" borderId="0" xfId="0" applyFont="1" applyAlignment="1">
      <alignment vertical="top"/>
    </xf>
    <xf numFmtId="0" fontId="7" fillId="0" borderId="7" xfId="0" applyFont="1" applyBorder="1"/>
    <xf numFmtId="0" fontId="9" fillId="0" borderId="0" xfId="0" applyFont="1"/>
    <xf numFmtId="0" fontId="10" fillId="0" borderId="0" xfId="0" applyFont="1"/>
    <xf numFmtId="0" fontId="0" fillId="0" borderId="8" xfId="0" applyBorder="1"/>
    <xf numFmtId="0" fontId="0" fillId="0" borderId="9" xfId="0" applyBorder="1"/>
    <xf numFmtId="0" fontId="0" fillId="0" borderId="2" xfId="0" applyBorder="1"/>
    <xf numFmtId="0" fontId="0" fillId="0" borderId="3" xfId="0" applyBorder="1"/>
    <xf numFmtId="165" fontId="8" fillId="0" borderId="1" xfId="0" applyNumberFormat="1" applyFont="1" applyBorder="1" applyAlignment="1">
      <alignment horizontal="center"/>
    </xf>
    <xf numFmtId="0" fontId="7" fillId="0" borderId="0" xfId="0" applyFont="1"/>
    <xf numFmtId="4" fontId="0" fillId="0" borderId="1" xfId="0" applyNumberFormat="1" applyBorder="1"/>
    <xf numFmtId="3" fontId="0" fillId="0" borderId="1" xfId="0" applyNumberFormat="1" applyBorder="1"/>
    <xf numFmtId="170" fontId="0" fillId="0" borderId="1" xfId="0" applyNumberFormat="1" applyBorder="1"/>
    <xf numFmtId="4" fontId="0" fillId="0" borderId="8" xfId="0" applyNumberFormat="1" applyBorder="1"/>
    <xf numFmtId="3" fontId="0" fillId="0" borderId="8" xfId="0" applyNumberFormat="1" applyBorder="1"/>
    <xf numFmtId="170" fontId="0" fillId="0" borderId="8" xfId="0" applyNumberFormat="1" applyBorder="1"/>
    <xf numFmtId="4" fontId="0" fillId="0" borderId="2" xfId="0" applyNumberFormat="1" applyBorder="1"/>
    <xf numFmtId="3" fontId="0" fillId="0" borderId="2" xfId="0" applyNumberFormat="1" applyBorder="1"/>
    <xf numFmtId="4" fontId="0" fillId="0" borderId="3" xfId="0" applyNumberFormat="1" applyBorder="1"/>
    <xf numFmtId="3" fontId="0" fillId="0" borderId="3" xfId="0" applyNumberFormat="1" applyBorder="1"/>
    <xf numFmtId="170" fontId="0" fillId="0" borderId="3" xfId="0" applyNumberFormat="1" applyBorder="1"/>
    <xf numFmtId="0" fontId="0" fillId="0" borderId="10" xfId="0" applyBorder="1"/>
    <xf numFmtId="0" fontId="7" fillId="0" borderId="11" xfId="0" applyFont="1" applyBorder="1"/>
    <xf numFmtId="17" fontId="8" fillId="0" borderId="12" xfId="0" applyNumberFormat="1" applyFont="1" applyBorder="1" applyAlignment="1">
      <alignment horizontal="left"/>
    </xf>
    <xf numFmtId="17" fontId="8" fillId="0" borderId="13" xfId="0" applyNumberFormat="1" applyFont="1" applyBorder="1" applyAlignment="1">
      <alignment horizontal="left"/>
    </xf>
    <xf numFmtId="17" fontId="7" fillId="0" borderId="14" xfId="0" applyNumberFormat="1" applyFont="1" applyBorder="1" applyAlignment="1">
      <alignment horizontal="center"/>
    </xf>
    <xf numFmtId="17" fontId="8" fillId="0" borderId="15" xfId="0" applyNumberFormat="1" applyFont="1" applyBorder="1" applyAlignment="1">
      <alignment horizontal="left"/>
    </xf>
    <xf numFmtId="0" fontId="7" fillId="0" borderId="14" xfId="0" applyFont="1" applyBorder="1" applyAlignment="1">
      <alignment horizontal="center"/>
    </xf>
    <xf numFmtId="0" fontId="7" fillId="0" borderId="14" xfId="0" applyFont="1" applyBorder="1"/>
    <xf numFmtId="0" fontId="0" fillId="0" borderId="16" xfId="0" applyBorder="1"/>
    <xf numFmtId="0" fontId="14" fillId="0" borderId="17" xfId="0" applyFont="1" applyBorder="1" applyAlignment="1">
      <alignment horizontal="center"/>
    </xf>
    <xf numFmtId="0" fontId="14" fillId="0" borderId="18" xfId="0" applyFont="1" applyBorder="1" applyAlignment="1">
      <alignment horizontal="center"/>
    </xf>
    <xf numFmtId="0" fontId="9" fillId="0" borderId="19" xfId="0" applyFont="1" applyBorder="1" applyAlignment="1">
      <alignment horizontal="center"/>
    </xf>
    <xf numFmtId="17" fontId="9" fillId="0" borderId="12" xfId="0" applyNumberFormat="1" applyFont="1" applyBorder="1" applyAlignment="1">
      <alignment horizontal="center"/>
    </xf>
    <xf numFmtId="17" fontId="9" fillId="0" borderId="13" xfId="0" applyNumberFormat="1" applyFont="1" applyBorder="1" applyAlignment="1">
      <alignment horizontal="center"/>
    </xf>
    <xf numFmtId="0" fontId="11" fillId="0" borderId="0" xfId="0" applyFont="1" applyAlignment="1">
      <alignment vertical="top"/>
    </xf>
    <xf numFmtId="17" fontId="11" fillId="0" borderId="20" xfId="0" applyNumberFormat="1" applyFont="1" applyBorder="1" applyAlignment="1">
      <alignment horizontal="center"/>
    </xf>
    <xf numFmtId="0" fontId="11" fillId="0" borderId="18" xfId="0" applyFont="1" applyBorder="1" applyAlignment="1">
      <alignment horizontal="center"/>
    </xf>
    <xf numFmtId="0" fontId="10" fillId="0" borderId="21" xfId="0" applyFont="1" applyBorder="1" applyAlignment="1">
      <alignment horizontal="left"/>
    </xf>
    <xf numFmtId="17" fontId="10" fillId="0" borderId="22" xfId="0" applyNumberFormat="1" applyFont="1" applyBorder="1" applyAlignment="1">
      <alignment horizontal="left"/>
    </xf>
    <xf numFmtId="17" fontId="10" fillId="0" borderId="23" xfId="0" applyNumberFormat="1" applyFont="1" applyBorder="1" applyAlignment="1">
      <alignment horizontal="left"/>
    </xf>
    <xf numFmtId="17" fontId="11" fillId="0" borderId="23" xfId="0" applyNumberFormat="1" applyFont="1" applyBorder="1" applyAlignment="1">
      <alignment horizontal="left"/>
    </xf>
    <xf numFmtId="17" fontId="10" fillId="0" borderId="24" xfId="0" applyNumberFormat="1" applyFont="1" applyBorder="1" applyAlignment="1">
      <alignment horizontal="left"/>
    </xf>
    <xf numFmtId="0" fontId="11" fillId="0" borderId="20" xfId="0" applyFont="1" applyBorder="1" applyAlignment="1">
      <alignment horizontal="center"/>
    </xf>
    <xf numFmtId="0" fontId="11" fillId="0" borderId="20" xfId="0" applyFont="1" applyBorder="1"/>
    <xf numFmtId="0" fontId="11" fillId="0" borderId="11" xfId="0" applyFont="1" applyBorder="1"/>
    <xf numFmtId="0" fontId="11" fillId="0" borderId="7" xfId="0" applyFont="1" applyBorder="1"/>
    <xf numFmtId="0" fontId="10" fillId="0" borderId="17" xfId="0" applyFont="1" applyBorder="1"/>
    <xf numFmtId="0" fontId="11" fillId="0" borderId="25" xfId="0" applyFont="1" applyBorder="1" applyAlignment="1">
      <alignment horizontal="center"/>
    </xf>
    <xf numFmtId="0" fontId="11" fillId="0" borderId="26" xfId="0" applyFont="1" applyBorder="1" applyAlignment="1">
      <alignment horizontal="center"/>
    </xf>
    <xf numFmtId="17" fontId="11" fillId="0" borderId="24" xfId="0" applyNumberFormat="1" applyFont="1" applyBorder="1" applyAlignment="1">
      <alignment horizontal="center"/>
    </xf>
    <xf numFmtId="17" fontId="11" fillId="0" borderId="27" xfId="0" applyNumberFormat="1" applyFont="1" applyBorder="1" applyAlignment="1">
      <alignment horizontal="center"/>
    </xf>
    <xf numFmtId="17" fontId="11" fillId="0" borderId="28" xfId="0" applyNumberFormat="1" applyFont="1" applyBorder="1" applyAlignment="1">
      <alignment horizontal="center"/>
    </xf>
    <xf numFmtId="3" fontId="16" fillId="0" borderId="29" xfId="0" applyNumberFormat="1" applyFont="1" applyBorder="1" applyAlignment="1">
      <alignment horizontal="center"/>
    </xf>
    <xf numFmtId="3" fontId="10" fillId="0" borderId="29" xfId="0" applyNumberFormat="1" applyFont="1" applyBorder="1" applyAlignment="1">
      <alignment horizontal="center"/>
    </xf>
    <xf numFmtId="3" fontId="11" fillId="0" borderId="29" xfId="0" applyNumberFormat="1" applyFont="1" applyBorder="1" applyAlignment="1">
      <alignment horizontal="center"/>
    </xf>
    <xf numFmtId="3" fontId="11" fillId="0" borderId="30" xfId="0" applyNumberFormat="1" applyFont="1" applyBorder="1" applyAlignment="1">
      <alignment horizontal="center"/>
    </xf>
    <xf numFmtId="3" fontId="16" fillId="0" borderId="31" xfId="0" applyNumberFormat="1" applyFont="1" applyBorder="1" applyAlignment="1">
      <alignment horizontal="center"/>
    </xf>
    <xf numFmtId="3" fontId="15" fillId="0" borderId="11" xfId="0" applyNumberFormat="1" applyFont="1" applyBorder="1" applyAlignment="1">
      <alignment horizontal="center"/>
    </xf>
    <xf numFmtId="3" fontId="11" fillId="0" borderId="11" xfId="0" applyNumberFormat="1" applyFont="1" applyBorder="1" applyAlignment="1">
      <alignment horizontal="center"/>
    </xf>
    <xf numFmtId="4" fontId="10" fillId="0" borderId="6" xfId="0" applyNumberFormat="1" applyFont="1" applyBorder="1"/>
    <xf numFmtId="4" fontId="10" fillId="0" borderId="32" xfId="0" applyNumberFormat="1" applyFont="1" applyBorder="1"/>
    <xf numFmtId="4" fontId="10" fillId="0" borderId="14" xfId="0" applyNumberFormat="1" applyFont="1" applyBorder="1"/>
    <xf numFmtId="3" fontId="10" fillId="0" borderId="3" xfId="0" applyNumberFormat="1" applyFont="1" applyBorder="1" applyAlignment="1">
      <alignment horizontal="center"/>
    </xf>
    <xf numFmtId="3" fontId="10" fillId="0" borderId="4" xfId="0" applyNumberFormat="1" applyFont="1" applyBorder="1" applyAlignment="1">
      <alignment horizontal="center"/>
    </xf>
    <xf numFmtId="3" fontId="10" fillId="0" borderId="1" xfId="0" applyNumberFormat="1" applyFont="1" applyBorder="1" applyAlignment="1">
      <alignment horizontal="center"/>
    </xf>
    <xf numFmtId="3" fontId="10" fillId="0" borderId="5" xfId="0" applyNumberFormat="1" applyFont="1" applyBorder="1" applyAlignment="1">
      <alignment horizontal="center"/>
    </xf>
    <xf numFmtId="3" fontId="10" fillId="0" borderId="33" xfId="0" applyNumberFormat="1" applyFont="1" applyBorder="1" applyAlignment="1">
      <alignment horizontal="center"/>
    </xf>
    <xf numFmtId="3" fontId="10" fillId="0" borderId="34" xfId="0" applyNumberFormat="1" applyFont="1" applyBorder="1" applyAlignment="1">
      <alignment horizontal="center"/>
    </xf>
    <xf numFmtId="3" fontId="11" fillId="0" borderId="35" xfId="0" applyNumberFormat="1" applyFont="1" applyBorder="1" applyAlignment="1">
      <alignment horizontal="center"/>
    </xf>
    <xf numFmtId="3" fontId="11" fillId="0" borderId="6" xfId="0" applyNumberFormat="1" applyFont="1" applyBorder="1" applyAlignment="1">
      <alignment horizontal="center"/>
    </xf>
    <xf numFmtId="3" fontId="11" fillId="0" borderId="32" xfId="0" applyNumberFormat="1" applyFont="1" applyBorder="1" applyAlignment="1">
      <alignment horizontal="center"/>
    </xf>
    <xf numFmtId="3" fontId="11" fillId="0" borderId="36" xfId="0" applyNumberFormat="1" applyFont="1" applyBorder="1" applyAlignment="1">
      <alignment horizontal="center"/>
    </xf>
    <xf numFmtId="4" fontId="16" fillId="0" borderId="11" xfId="0" applyNumberFormat="1" applyFont="1" applyBorder="1"/>
    <xf numFmtId="4" fontId="17" fillId="0" borderId="32" xfId="0" applyNumberFormat="1" applyFont="1" applyBorder="1"/>
    <xf numFmtId="1" fontId="10" fillId="0" borderId="19" xfId="0" applyNumberFormat="1" applyFont="1" applyBorder="1" applyAlignment="1">
      <alignment horizontal="center"/>
    </xf>
    <xf numFmtId="1" fontId="10" fillId="0" borderId="3" xfId="0" applyNumberFormat="1" applyFont="1" applyBorder="1" applyAlignment="1">
      <alignment horizontal="center"/>
    </xf>
    <xf numFmtId="1" fontId="10" fillId="0" borderId="1" xfId="0" applyNumberFormat="1" applyFont="1" applyBorder="1" applyAlignment="1">
      <alignment horizontal="center"/>
    </xf>
    <xf numFmtId="1" fontId="10" fillId="0" borderId="26" xfId="0" applyNumberFormat="1" applyFont="1" applyBorder="1" applyAlignment="1">
      <alignment horizontal="center"/>
    </xf>
    <xf numFmtId="1" fontId="10" fillId="0" borderId="4" xfId="0" applyNumberFormat="1" applyFont="1" applyBorder="1" applyAlignment="1">
      <alignment horizontal="center"/>
    </xf>
    <xf numFmtId="1" fontId="10" fillId="0" borderId="5" xfId="0" applyNumberFormat="1" applyFont="1" applyBorder="1" applyAlignment="1">
      <alignment horizontal="center"/>
    </xf>
    <xf numFmtId="1" fontId="11" fillId="0" borderId="6" xfId="0" applyNumberFormat="1" applyFont="1" applyBorder="1" applyAlignment="1">
      <alignment horizontal="center"/>
    </xf>
    <xf numFmtId="0" fontId="10" fillId="0" borderId="16" xfId="0" applyFont="1" applyBorder="1"/>
    <xf numFmtId="3" fontId="16" fillId="0" borderId="0" xfId="0" applyNumberFormat="1" applyFont="1" applyAlignment="1">
      <alignment horizontal="center"/>
    </xf>
    <xf numFmtId="3" fontId="11" fillId="0" borderId="14" xfId="0" applyNumberFormat="1" applyFont="1" applyBorder="1" applyAlignment="1">
      <alignment horizontal="center"/>
    </xf>
    <xf numFmtId="3" fontId="16" fillId="0" borderId="37" xfId="0" applyNumberFormat="1" applyFont="1" applyBorder="1" applyAlignment="1">
      <alignment horizontal="center"/>
    </xf>
    <xf numFmtId="3" fontId="10" fillId="0" borderId="38" xfId="0" applyNumberFormat="1" applyFont="1" applyBorder="1" applyAlignment="1">
      <alignment horizontal="center" wrapText="1"/>
    </xf>
    <xf numFmtId="4" fontId="17" fillId="0" borderId="6" xfId="0" applyNumberFormat="1" applyFont="1" applyBorder="1"/>
    <xf numFmtId="4" fontId="11" fillId="0" borderId="6" xfId="0" applyNumberFormat="1" applyFont="1" applyBorder="1"/>
    <xf numFmtId="3" fontId="16" fillId="0" borderId="11" xfId="0" applyNumberFormat="1" applyFont="1" applyBorder="1" applyAlignment="1">
      <alignment horizontal="center"/>
    </xf>
    <xf numFmtId="1" fontId="10" fillId="0" borderId="12" xfId="0" applyNumberFormat="1" applyFont="1" applyBorder="1" applyAlignment="1">
      <alignment horizontal="center"/>
    </xf>
    <xf numFmtId="1" fontId="10" fillId="0" borderId="13" xfId="0" applyNumberFormat="1" applyFont="1" applyBorder="1" applyAlignment="1">
      <alignment horizontal="center"/>
    </xf>
    <xf numFmtId="1" fontId="11" fillId="0" borderId="14" xfId="0" applyNumberFormat="1" applyFont="1" applyBorder="1" applyAlignment="1">
      <alignment horizontal="center"/>
    </xf>
    <xf numFmtId="4" fontId="16" fillId="0" borderId="20" xfId="0" applyNumberFormat="1" applyFont="1" applyBorder="1"/>
    <xf numFmtId="4" fontId="17" fillId="0" borderId="14" xfId="0" applyNumberFormat="1" applyFont="1" applyBorder="1"/>
    <xf numFmtId="3" fontId="11" fillId="0" borderId="38" xfId="0" applyNumberFormat="1" applyFont="1" applyBorder="1" applyAlignment="1">
      <alignment horizontal="center"/>
    </xf>
    <xf numFmtId="3" fontId="10" fillId="0" borderId="6" xfId="0" applyNumberFormat="1" applyFont="1" applyBorder="1" applyAlignment="1">
      <alignment horizontal="center" wrapText="1"/>
    </xf>
    <xf numFmtId="3" fontId="15" fillId="0" borderId="20" xfId="0" applyNumberFormat="1" applyFont="1" applyBorder="1" applyAlignment="1">
      <alignment horizontal="center"/>
    </xf>
    <xf numFmtId="3" fontId="15" fillId="0" borderId="37" xfId="0" applyNumberFormat="1" applyFont="1" applyBorder="1" applyAlignment="1">
      <alignment horizontal="center"/>
    </xf>
    <xf numFmtId="3" fontId="15" fillId="0" borderId="30" xfId="0" applyNumberFormat="1" applyFont="1" applyBorder="1" applyAlignment="1">
      <alignment horizontal="center"/>
    </xf>
    <xf numFmtId="3" fontId="15" fillId="0" borderId="35" xfId="0" applyNumberFormat="1" applyFont="1" applyBorder="1" applyAlignment="1">
      <alignment horizontal="center"/>
    </xf>
    <xf numFmtId="3" fontId="15" fillId="0" borderId="29" xfId="0" applyNumberFormat="1" applyFont="1" applyBorder="1" applyAlignment="1">
      <alignment horizontal="center"/>
    </xf>
    <xf numFmtId="3" fontId="15" fillId="0" borderId="31" xfId="0" applyNumberFormat="1" applyFont="1" applyBorder="1" applyAlignment="1">
      <alignment horizontal="center"/>
    </xf>
    <xf numFmtId="3" fontId="15" fillId="0" borderId="0" xfId="0" applyNumberFormat="1" applyFont="1" applyAlignment="1">
      <alignment horizontal="center"/>
    </xf>
    <xf numFmtId="0" fontId="11" fillId="0" borderId="0" xfId="0" applyFont="1"/>
    <xf numFmtId="3" fontId="11" fillId="0" borderId="0" xfId="0" applyNumberFormat="1" applyFont="1" applyAlignment="1">
      <alignment horizontal="center"/>
    </xf>
    <xf numFmtId="3" fontId="0" fillId="0" borderId="0" xfId="0" applyNumberFormat="1"/>
    <xf numFmtId="1" fontId="8" fillId="0" borderId="19" xfId="0" applyNumberFormat="1" applyFont="1" applyBorder="1" applyAlignment="1">
      <alignment horizontal="center"/>
    </xf>
    <xf numFmtId="1" fontId="8" fillId="0" borderId="3" xfId="0" applyNumberFormat="1" applyFont="1" applyBorder="1" applyAlignment="1">
      <alignment horizontal="center"/>
    </xf>
    <xf numFmtId="3" fontId="20" fillId="0" borderId="37" xfId="0" applyNumberFormat="1" applyFont="1" applyBorder="1" applyAlignment="1">
      <alignment horizontal="center"/>
    </xf>
    <xf numFmtId="3" fontId="20" fillId="0" borderId="11" xfId="0" applyNumberFormat="1" applyFont="1" applyBorder="1" applyAlignment="1">
      <alignment horizontal="center"/>
    </xf>
    <xf numFmtId="17" fontId="9" fillId="0" borderId="13" xfId="0" applyNumberFormat="1" applyFont="1" applyBorder="1" applyAlignment="1">
      <alignment horizontal="left"/>
    </xf>
    <xf numFmtId="1" fontId="8" fillId="0" borderId="26" xfId="0" applyNumberFormat="1" applyFont="1" applyBorder="1" applyAlignment="1">
      <alignment horizontal="center"/>
    </xf>
    <xf numFmtId="1" fontId="8" fillId="0" borderId="4" xfId="0" applyNumberFormat="1" applyFont="1" applyBorder="1" applyAlignment="1">
      <alignment horizontal="center"/>
    </xf>
    <xf numFmtId="1" fontId="8" fillId="0" borderId="5" xfId="0" applyNumberFormat="1" applyFont="1" applyBorder="1" applyAlignment="1">
      <alignment horizontal="center"/>
    </xf>
    <xf numFmtId="41" fontId="8" fillId="0" borderId="19" xfId="0" applyNumberFormat="1" applyFont="1" applyBorder="1" applyAlignment="1">
      <alignment horizontal="center"/>
    </xf>
    <xf numFmtId="41" fontId="8" fillId="0" borderId="3" xfId="0" applyNumberFormat="1" applyFont="1" applyBorder="1" applyAlignment="1">
      <alignment horizontal="center"/>
    </xf>
    <xf numFmtId="17" fontId="19" fillId="0" borderId="7" xfId="0" applyNumberFormat="1" applyFont="1" applyBorder="1" applyAlignment="1">
      <alignment horizontal="center"/>
    </xf>
    <xf numFmtId="17" fontId="19" fillId="0" borderId="39" xfId="0" applyNumberFormat="1" applyFont="1" applyBorder="1" applyAlignment="1">
      <alignment horizontal="center"/>
    </xf>
    <xf numFmtId="17" fontId="18" fillId="0" borderId="7" xfId="0" applyNumberFormat="1" applyFont="1" applyBorder="1" applyAlignment="1">
      <alignment horizontal="center"/>
    </xf>
    <xf numFmtId="17" fontId="18" fillId="0" borderId="39" xfId="0" applyNumberFormat="1" applyFont="1" applyBorder="1" applyAlignment="1">
      <alignment horizontal="center"/>
    </xf>
    <xf numFmtId="17" fontId="14" fillId="0" borderId="7" xfId="0" applyNumberFormat="1" applyFont="1" applyBorder="1" applyAlignment="1">
      <alignment horizontal="center"/>
    </xf>
    <xf numFmtId="17" fontId="14" fillId="0" borderId="39" xfId="0" applyNumberFormat="1" applyFont="1" applyBorder="1" applyAlignment="1">
      <alignment horizontal="center"/>
    </xf>
    <xf numFmtId="0" fontId="14" fillId="0" borderId="7" xfId="0" applyFont="1" applyBorder="1" applyAlignment="1">
      <alignment horizontal="center"/>
    </xf>
    <xf numFmtId="0" fontId="14" fillId="0" borderId="39" xfId="0" applyFont="1" applyBorder="1" applyAlignment="1">
      <alignment horizontal="center"/>
    </xf>
    <xf numFmtId="1" fontId="10" fillId="0" borderId="25" xfId="0" applyNumberFormat="1" applyFont="1" applyBorder="1" applyAlignment="1">
      <alignment horizontal="center"/>
    </xf>
    <xf numFmtId="3" fontId="20" fillId="0" borderId="29" xfId="0" applyNumberFormat="1" applyFont="1" applyBorder="1" applyAlignment="1">
      <alignment horizontal="center"/>
    </xf>
    <xf numFmtId="3" fontId="10" fillId="0" borderId="31" xfId="0" applyNumberFormat="1" applyFont="1" applyBorder="1" applyAlignment="1">
      <alignment horizontal="center"/>
    </xf>
    <xf numFmtId="3" fontId="10" fillId="0" borderId="11" xfId="0" applyNumberFormat="1" applyFont="1" applyBorder="1" applyAlignment="1">
      <alignment horizontal="center"/>
    </xf>
    <xf numFmtId="3" fontId="20" fillId="0" borderId="0" xfId="0" applyNumberFormat="1" applyFont="1" applyAlignment="1">
      <alignment horizontal="center"/>
    </xf>
    <xf numFmtId="170" fontId="0" fillId="0" borderId="5" xfId="0" applyNumberFormat="1" applyBorder="1"/>
    <xf numFmtId="0" fontId="4" fillId="0" borderId="40" xfId="0" applyFont="1" applyBorder="1" applyAlignment="1">
      <alignment horizontal="center" vertical="center"/>
    </xf>
    <xf numFmtId="4" fontId="0" fillId="0" borderId="0" xfId="0" applyNumberFormat="1"/>
    <xf numFmtId="170" fontId="0" fillId="0" borderId="0" xfId="0" applyNumberFormat="1"/>
    <xf numFmtId="170" fontId="0" fillId="0" borderId="4" xfId="0" applyNumberFormat="1" applyBorder="1"/>
    <xf numFmtId="0" fontId="4" fillId="0" borderId="41" xfId="0" applyFont="1" applyBorder="1" applyAlignment="1">
      <alignment horizontal="center" vertical="center"/>
    </xf>
    <xf numFmtId="44" fontId="0" fillId="0" borderId="23" xfId="0" applyNumberFormat="1" applyBorder="1"/>
    <xf numFmtId="4" fontId="0" fillId="0" borderId="23" xfId="0" applyNumberFormat="1" applyBorder="1"/>
    <xf numFmtId="4" fontId="0" fillId="0" borderId="42" xfId="0" applyNumberFormat="1" applyBorder="1"/>
    <xf numFmtId="3" fontId="0" fillId="0" borderId="43" xfId="0" applyNumberFormat="1" applyBorder="1"/>
    <xf numFmtId="170" fontId="0" fillId="2" borderId="44" xfId="0" applyNumberFormat="1" applyFill="1" applyBorder="1"/>
    <xf numFmtId="0" fontId="4" fillId="2" borderId="2"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46" xfId="0" applyFont="1" applyFill="1" applyBorder="1" applyAlignment="1">
      <alignment horizontal="center" vertical="center"/>
    </xf>
    <xf numFmtId="0" fontId="7" fillId="3" borderId="11" xfId="0" applyFont="1" applyFill="1" applyBorder="1"/>
    <xf numFmtId="0" fontId="22" fillId="0" borderId="17" xfId="0" applyFont="1" applyBorder="1" applyAlignment="1">
      <alignment horizontal="center"/>
    </xf>
    <xf numFmtId="0" fontId="22" fillId="0" borderId="18" xfId="0" applyFont="1" applyBorder="1" applyAlignment="1">
      <alignment horizontal="center"/>
    </xf>
    <xf numFmtId="4" fontId="0" fillId="0" borderId="12" xfId="0" applyNumberFormat="1" applyBorder="1"/>
    <xf numFmtId="4" fontId="0" fillId="0" borderId="13" xfId="0" applyNumberFormat="1" applyBorder="1"/>
    <xf numFmtId="44" fontId="0" fillId="0" borderId="13" xfId="0" applyNumberFormat="1" applyBorder="1"/>
    <xf numFmtId="4" fontId="0" fillId="0" borderId="46" xfId="0" applyNumberFormat="1" applyBorder="1"/>
    <xf numFmtId="38" fontId="0" fillId="0" borderId="0" xfId="0" applyNumberFormat="1"/>
    <xf numFmtId="0" fontId="28" fillId="0" borderId="0" xfId="0" applyFont="1"/>
    <xf numFmtId="17" fontId="10" fillId="4" borderId="22" xfId="0" applyNumberFormat="1" applyFont="1" applyFill="1" applyBorder="1" applyAlignment="1">
      <alignment horizontal="left"/>
    </xf>
    <xf numFmtId="17" fontId="8" fillId="4" borderId="12" xfId="0" applyNumberFormat="1" applyFont="1" applyFill="1" applyBorder="1" applyAlignment="1">
      <alignment horizontal="left"/>
    </xf>
    <xf numFmtId="3" fontId="8" fillId="4" borderId="3" xfId="0" applyNumberFormat="1" applyFont="1" applyFill="1" applyBorder="1" applyAlignment="1">
      <alignment horizontal="center"/>
    </xf>
    <xf numFmtId="3" fontId="16" fillId="4" borderId="29" xfId="0" applyNumberFormat="1" applyFont="1" applyFill="1" applyBorder="1" applyAlignment="1">
      <alignment horizontal="center"/>
    </xf>
    <xf numFmtId="3" fontId="15" fillId="4" borderId="37" xfId="0" applyNumberFormat="1" applyFont="1" applyFill="1" applyBorder="1" applyAlignment="1">
      <alignment horizontal="center"/>
    </xf>
    <xf numFmtId="3" fontId="10" fillId="4" borderId="3" xfId="0" applyNumberFormat="1" applyFont="1" applyFill="1" applyBorder="1" applyAlignment="1">
      <alignment horizontal="center"/>
    </xf>
    <xf numFmtId="3" fontId="10" fillId="4" borderId="4" xfId="0" applyNumberFormat="1" applyFont="1" applyFill="1" applyBorder="1" applyAlignment="1">
      <alignment horizontal="center"/>
    </xf>
    <xf numFmtId="3" fontId="15" fillId="4" borderId="29" xfId="0" applyNumberFormat="1" applyFont="1" applyFill="1" applyBorder="1" applyAlignment="1">
      <alignment horizontal="center"/>
    </xf>
    <xf numFmtId="3" fontId="10" fillId="4" borderId="29" xfId="0" applyNumberFormat="1" applyFont="1" applyFill="1" applyBorder="1" applyAlignment="1">
      <alignment horizontal="center"/>
    </xf>
    <xf numFmtId="3" fontId="11" fillId="4" borderId="29" xfId="0" applyNumberFormat="1" applyFont="1" applyFill="1" applyBorder="1" applyAlignment="1">
      <alignment horizontal="center"/>
    </xf>
    <xf numFmtId="1" fontId="0" fillId="0" borderId="0" xfId="0" applyNumberFormat="1"/>
    <xf numFmtId="0" fontId="0" fillId="0" borderId="0" xfId="0" applyAlignment="1">
      <alignment wrapText="1"/>
    </xf>
    <xf numFmtId="0" fontId="0" fillId="2" borderId="0" xfId="0" applyFill="1" applyAlignment="1">
      <alignment wrapText="1"/>
    </xf>
    <xf numFmtId="0" fontId="29" fillId="0" borderId="0" xfId="0" applyFont="1"/>
    <xf numFmtId="10" fontId="0" fillId="0" borderId="0" xfId="0" applyNumberFormat="1"/>
    <xf numFmtId="0" fontId="29" fillId="0" borderId="0" xfId="0" applyFont="1" applyAlignment="1">
      <alignment horizontal="right"/>
    </xf>
    <xf numFmtId="0" fontId="40" fillId="0" borderId="0" xfId="0" applyFont="1"/>
    <xf numFmtId="42" fontId="42" fillId="0" borderId="47" xfId="0" applyNumberFormat="1" applyFont="1" applyBorder="1" applyAlignment="1">
      <alignment horizontal="center"/>
    </xf>
    <xf numFmtId="0" fontId="41" fillId="0" borderId="3" xfId="0" applyFont="1" applyBorder="1"/>
    <xf numFmtId="0" fontId="42" fillId="0" borderId="1" xfId="0" applyFont="1" applyBorder="1"/>
    <xf numFmtId="169" fontId="42" fillId="0" borderId="1" xfId="0" applyNumberFormat="1" applyFont="1" applyBorder="1" applyAlignment="1">
      <alignment horizontal="center"/>
    </xf>
    <xf numFmtId="0" fontId="43" fillId="0" borderId="1" xfId="0" applyFont="1" applyBorder="1"/>
    <xf numFmtId="41" fontId="42" fillId="0" borderId="1" xfId="0" applyNumberFormat="1" applyFont="1" applyBorder="1" applyAlignment="1">
      <alignment horizontal="center"/>
    </xf>
    <xf numFmtId="0" fontId="41" fillId="0" borderId="48" xfId="0" applyFont="1" applyBorder="1"/>
    <xf numFmtId="44" fontId="41" fillId="0" borderId="48" xfId="0" applyNumberFormat="1" applyFont="1" applyBorder="1" applyAlignment="1">
      <alignment horizontal="center"/>
    </xf>
    <xf numFmtId="0" fontId="42" fillId="0" borderId="3" xfId="0" applyFont="1" applyBorder="1"/>
    <xf numFmtId="42" fontId="42" fillId="0" borderId="3" xfId="0" applyNumberFormat="1" applyFont="1" applyBorder="1" applyAlignment="1">
      <alignment horizontal="center"/>
    </xf>
    <xf numFmtId="42" fontId="42" fillId="0" borderId="1" xfId="0" applyNumberFormat="1" applyFont="1" applyBorder="1" applyAlignment="1">
      <alignment horizontal="center"/>
    </xf>
    <xf numFmtId="44" fontId="42" fillId="0" borderId="1" xfId="0" applyNumberFormat="1" applyFont="1" applyBorder="1" applyAlignment="1">
      <alignment horizontal="center"/>
    </xf>
    <xf numFmtId="0" fontId="42" fillId="0" borderId="8" xfId="0" applyFont="1" applyBorder="1"/>
    <xf numFmtId="44" fontId="41" fillId="0" borderId="49" xfId="0" applyNumberFormat="1" applyFont="1" applyBorder="1" applyAlignment="1">
      <alignment horizontal="center"/>
    </xf>
    <xf numFmtId="0" fontId="42" fillId="0" borderId="0" xfId="0" applyFont="1"/>
    <xf numFmtId="44" fontId="42" fillId="0" borderId="0" xfId="0" applyNumberFormat="1" applyFont="1" applyAlignment="1">
      <alignment horizontal="center"/>
    </xf>
    <xf numFmtId="44" fontId="42" fillId="0" borderId="1" xfId="31" applyFont="1" applyBorder="1" applyAlignment="1">
      <alignment horizontal="center"/>
    </xf>
    <xf numFmtId="41" fontId="41" fillId="0" borderId="0" xfId="0" applyNumberFormat="1" applyFont="1" applyAlignment="1">
      <alignment horizontal="center"/>
    </xf>
    <xf numFmtId="0" fontId="41" fillId="0" borderId="0" xfId="0" applyFont="1"/>
    <xf numFmtId="44" fontId="41" fillId="0" borderId="0" xfId="0" applyNumberFormat="1" applyFont="1" applyAlignment="1">
      <alignment horizontal="center"/>
    </xf>
    <xf numFmtId="0" fontId="41" fillId="0" borderId="49" xfId="0" applyFont="1" applyBorder="1"/>
    <xf numFmtId="44" fontId="41" fillId="0" borderId="3" xfId="0" applyNumberFormat="1" applyFont="1" applyBorder="1" applyAlignment="1">
      <alignment horizontal="center"/>
    </xf>
    <xf numFmtId="0" fontId="42" fillId="0" borderId="50" xfId="0" applyFont="1" applyBorder="1"/>
    <xf numFmtId="42" fontId="42" fillId="0" borderId="50" xfId="0" applyNumberFormat="1" applyFont="1" applyBorder="1" applyAlignment="1">
      <alignment horizontal="center"/>
    </xf>
    <xf numFmtId="42" fontId="42" fillId="0" borderId="0" xfId="0" applyNumberFormat="1" applyFont="1" applyAlignment="1">
      <alignment horizontal="center"/>
    </xf>
    <xf numFmtId="0" fontId="43" fillId="0" borderId="0" xfId="0" applyFont="1"/>
    <xf numFmtId="0" fontId="43" fillId="0" borderId="3" xfId="0" applyFont="1" applyBorder="1"/>
    <xf numFmtId="42" fontId="43" fillId="0" borderId="1" xfId="0" applyNumberFormat="1" applyFont="1" applyBorder="1" applyAlignment="1">
      <alignment horizontal="center"/>
    </xf>
    <xf numFmtId="0" fontId="43" fillId="0" borderId="8" xfId="0" applyFont="1" applyBorder="1"/>
    <xf numFmtId="0" fontId="44" fillId="0" borderId="0" xfId="0" applyFont="1"/>
    <xf numFmtId="42" fontId="43" fillId="0" borderId="0" xfId="0" applyNumberFormat="1" applyFont="1" applyAlignment="1">
      <alignment horizontal="center"/>
    </xf>
    <xf numFmtId="0" fontId="45" fillId="0" borderId="0" xfId="0" applyFont="1"/>
    <xf numFmtId="0" fontId="41" fillId="0" borderId="0" xfId="0" applyFont="1" applyAlignment="1">
      <alignment vertical="top"/>
    </xf>
    <xf numFmtId="0" fontId="42" fillId="0" borderId="17" xfId="0" applyFont="1" applyBorder="1"/>
    <xf numFmtId="0" fontId="41" fillId="0" borderId="50" xfId="0" applyFont="1" applyBorder="1"/>
    <xf numFmtId="0" fontId="40" fillId="0" borderId="50" xfId="0" applyFont="1" applyBorder="1"/>
    <xf numFmtId="0" fontId="41" fillId="0" borderId="51" xfId="0" applyFont="1" applyBorder="1"/>
    <xf numFmtId="0" fontId="42" fillId="0" borderId="18" xfId="0" applyFont="1" applyBorder="1"/>
    <xf numFmtId="0" fontId="41" fillId="0" borderId="16" xfId="0" applyFont="1" applyBorder="1"/>
    <xf numFmtId="0" fontId="42" fillId="0" borderId="16" xfId="0" applyFont="1" applyBorder="1"/>
    <xf numFmtId="0" fontId="46" fillId="0" borderId="52" xfId="0" applyFont="1" applyBorder="1"/>
    <xf numFmtId="0" fontId="42" fillId="0" borderId="53" xfId="0" applyFont="1" applyBorder="1"/>
    <xf numFmtId="0" fontId="42" fillId="0" borderId="52" xfId="0" applyFont="1" applyBorder="1"/>
    <xf numFmtId="0" fontId="42" fillId="0" borderId="0" xfId="0" applyFont="1" applyAlignment="1">
      <alignment horizontal="right"/>
    </xf>
    <xf numFmtId="174" fontId="41" fillId="0" borderId="54" xfId="0" applyNumberFormat="1" applyFont="1" applyBorder="1" applyAlignment="1">
      <alignment horizontal="center"/>
    </xf>
    <xf numFmtId="0" fontId="46" fillId="0" borderId="53" xfId="0" applyFont="1" applyBorder="1" applyAlignment="1">
      <alignment horizontal="center"/>
    </xf>
    <xf numFmtId="44" fontId="40" fillId="0" borderId="0" xfId="0" applyNumberFormat="1" applyFont="1"/>
    <xf numFmtId="0" fontId="42" fillId="0" borderId="56" xfId="0" applyFont="1" applyBorder="1" applyAlignment="1">
      <alignment horizontal="right"/>
    </xf>
    <xf numFmtId="0" fontId="47" fillId="0" borderId="0" xfId="0" applyFont="1"/>
    <xf numFmtId="0" fontId="48" fillId="0" borderId="0" xfId="0" applyFont="1" applyAlignment="1">
      <alignment horizontal="center"/>
    </xf>
    <xf numFmtId="0" fontId="42" fillId="0" borderId="0" xfId="0" applyFont="1" applyAlignment="1">
      <alignment horizontal="center"/>
    </xf>
    <xf numFmtId="0" fontId="41" fillId="0" borderId="0" xfId="0" applyFont="1" applyAlignment="1">
      <alignment horizontal="center"/>
    </xf>
    <xf numFmtId="44" fontId="41" fillId="0" borderId="25" xfId="31" applyFont="1" applyBorder="1"/>
    <xf numFmtId="44" fontId="41" fillId="0" borderId="0" xfId="31" applyFont="1"/>
    <xf numFmtId="0" fontId="41" fillId="0" borderId="54" xfId="0" applyFont="1" applyBorder="1"/>
    <xf numFmtId="0" fontId="41" fillId="0" borderId="57" xfId="0" applyFont="1" applyBorder="1"/>
    <xf numFmtId="44" fontId="43" fillId="0" borderId="0" xfId="0" applyNumberFormat="1" applyFont="1"/>
    <xf numFmtId="0" fontId="49" fillId="0" borderId="0" xfId="0" applyFont="1"/>
    <xf numFmtId="0" fontId="50" fillId="0" borderId="0" xfId="0" applyFont="1"/>
    <xf numFmtId="0" fontId="51" fillId="0" borderId="33" xfId="0" applyFont="1" applyBorder="1"/>
    <xf numFmtId="44" fontId="51" fillId="0" borderId="33" xfId="0" applyNumberFormat="1" applyFont="1" applyBorder="1" applyAlignment="1">
      <alignment horizontal="center"/>
    </xf>
    <xf numFmtId="0" fontId="42" fillId="0" borderId="56" xfId="0" applyFont="1" applyBorder="1"/>
    <xf numFmtId="0" fontId="49" fillId="0" borderId="0" xfId="0" applyFont="1" applyAlignment="1">
      <alignment horizontal="center"/>
    </xf>
    <xf numFmtId="44" fontId="42" fillId="0" borderId="0" xfId="0" applyNumberFormat="1" applyFont="1"/>
    <xf numFmtId="3" fontId="42" fillId="0" borderId="0" xfId="0" applyNumberFormat="1" applyFont="1"/>
    <xf numFmtId="0" fontId="42" fillId="0" borderId="54" xfId="0" applyFont="1" applyBorder="1"/>
    <xf numFmtId="0" fontId="42" fillId="0" borderId="0" xfId="0" applyFont="1" applyAlignment="1">
      <alignment vertical="center"/>
    </xf>
    <xf numFmtId="0" fontId="41" fillId="0" borderId="1" xfId="0" applyFont="1" applyBorder="1" applyAlignment="1">
      <alignment horizontal="center"/>
    </xf>
    <xf numFmtId="3" fontId="41" fillId="0" borderId="1" xfId="0" applyNumberFormat="1" applyFont="1" applyBorder="1" applyAlignment="1">
      <alignment horizontal="center"/>
    </xf>
    <xf numFmtId="3" fontId="41" fillId="0" borderId="8" xfId="0" applyNumberFormat="1" applyFont="1" applyBorder="1" applyAlignment="1">
      <alignment horizontal="center"/>
    </xf>
    <xf numFmtId="1" fontId="41" fillId="0" borderId="8" xfId="0" applyNumberFormat="1" applyFont="1" applyBorder="1" applyAlignment="1">
      <alignment horizontal="center"/>
    </xf>
    <xf numFmtId="0" fontId="52" fillId="0" borderId="0" xfId="0" applyFont="1"/>
    <xf numFmtId="0" fontId="41" fillId="0" borderId="2" xfId="0" applyFont="1" applyBorder="1" applyAlignment="1">
      <alignment horizontal="center" vertical="center"/>
    </xf>
    <xf numFmtId="0" fontId="41" fillId="0" borderId="2" xfId="0" applyFont="1" applyBorder="1" applyAlignment="1">
      <alignment horizontal="center" vertical="center" wrapText="1"/>
    </xf>
    <xf numFmtId="1" fontId="42" fillId="0" borderId="1" xfId="0" applyNumberFormat="1" applyFont="1" applyBorder="1" applyAlignment="1">
      <alignment horizontal="center"/>
    </xf>
    <xf numFmtId="1" fontId="42" fillId="0" borderId="33" xfId="0" applyNumberFormat="1" applyFont="1" applyBorder="1" applyAlignment="1">
      <alignment horizontal="center"/>
    </xf>
    <xf numFmtId="0" fontId="41" fillId="0" borderId="41" xfId="0" applyFont="1" applyBorder="1" applyAlignment="1">
      <alignment horizontal="center"/>
    </xf>
    <xf numFmtId="44" fontId="41" fillId="0" borderId="41" xfId="0" applyNumberFormat="1" applyFont="1" applyBorder="1" applyAlignment="1">
      <alignment horizontal="center"/>
    </xf>
    <xf numFmtId="0" fontId="41" fillId="0" borderId="59" xfId="0" applyFont="1" applyBorder="1"/>
    <xf numFmtId="0" fontId="42" fillId="0" borderId="1" xfId="0" applyFont="1" applyBorder="1" applyAlignment="1">
      <alignment horizontal="center"/>
    </xf>
    <xf numFmtId="0" fontId="42" fillId="0" borderId="33" xfId="0" applyFont="1" applyBorder="1" applyAlignment="1">
      <alignment horizontal="center"/>
    </xf>
    <xf numFmtId="0" fontId="40" fillId="0" borderId="0" xfId="0" applyFont="1" applyAlignment="1">
      <alignment horizontal="center"/>
    </xf>
    <xf numFmtId="0" fontId="40" fillId="0" borderId="1" xfId="0" applyFont="1" applyBorder="1"/>
    <xf numFmtId="0" fontId="40" fillId="0" borderId="13" xfId="0" applyFont="1" applyBorder="1"/>
    <xf numFmtId="42" fontId="40" fillId="0" borderId="1" xfId="0" applyNumberFormat="1" applyFont="1" applyBorder="1" applyAlignment="1">
      <alignment horizontal="center"/>
    </xf>
    <xf numFmtId="0" fontId="40" fillId="0" borderId="8" xfId="0" applyFont="1" applyBorder="1"/>
    <xf numFmtId="42" fontId="40" fillId="0" borderId="0" xfId="0" applyNumberFormat="1" applyFont="1" applyAlignment="1">
      <alignment horizontal="center"/>
    </xf>
    <xf numFmtId="8" fontId="42" fillId="0" borderId="1" xfId="0" applyNumberFormat="1" applyFont="1" applyBorder="1"/>
    <xf numFmtId="0" fontId="42" fillId="0" borderId="33" xfId="0" applyFont="1" applyBorder="1"/>
    <xf numFmtId="0" fontId="42" fillId="0" borderId="60" xfId="0" applyFont="1" applyBorder="1"/>
    <xf numFmtId="0" fontId="43" fillId="0" borderId="0" xfId="0" applyFont="1" applyAlignment="1">
      <alignment horizontal="center"/>
    </xf>
    <xf numFmtId="0" fontId="44" fillId="0" borderId="0" xfId="0" applyFont="1" applyAlignment="1">
      <alignment horizontal="center" wrapText="1"/>
    </xf>
    <xf numFmtId="0" fontId="44" fillId="0" borderId="1" xfId="0" applyFont="1" applyBorder="1"/>
    <xf numFmtId="8" fontId="43" fillId="0" borderId="3" xfId="0" applyNumberFormat="1" applyFont="1" applyBorder="1"/>
    <xf numFmtId="164" fontId="43" fillId="0" borderId="3" xfId="0" applyNumberFormat="1" applyFont="1" applyBorder="1" applyAlignment="1">
      <alignment horizontal="center"/>
    </xf>
    <xf numFmtId="167" fontId="43" fillId="0" borderId="4" xfId="0" applyNumberFormat="1" applyFont="1" applyBorder="1" applyAlignment="1">
      <alignment horizontal="center"/>
    </xf>
    <xf numFmtId="6" fontId="43" fillId="0" borderId="47" xfId="0" applyNumberFormat="1" applyFont="1" applyBorder="1" applyAlignment="1">
      <alignment horizontal="center"/>
    </xf>
    <xf numFmtId="8" fontId="43" fillId="0" borderId="13" xfId="0" applyNumberFormat="1" applyFont="1" applyBorder="1"/>
    <xf numFmtId="164" fontId="53" fillId="0" borderId="1" xfId="0" applyNumberFormat="1" applyFont="1" applyBorder="1" applyAlignment="1">
      <alignment horizontal="center"/>
    </xf>
    <xf numFmtId="167" fontId="43" fillId="0" borderId="5" xfId="0" applyNumberFormat="1" applyFont="1" applyBorder="1" applyAlignment="1">
      <alignment horizontal="center"/>
    </xf>
    <xf numFmtId="6" fontId="43" fillId="0" borderId="3" xfId="0" applyNumberFormat="1" applyFont="1" applyBorder="1" applyAlignment="1">
      <alignment horizontal="center"/>
    </xf>
    <xf numFmtId="168" fontId="43" fillId="0" borderId="0" xfId="0" applyNumberFormat="1" applyFont="1"/>
    <xf numFmtId="6" fontId="43" fillId="0" borderId="1" xfId="0" applyNumberFormat="1" applyFont="1" applyBorder="1" applyAlignment="1">
      <alignment horizontal="center"/>
    </xf>
    <xf numFmtId="8" fontId="53" fillId="0" borderId="1" xfId="0" applyNumberFormat="1" applyFont="1" applyBorder="1" applyAlignment="1">
      <alignment horizontal="center"/>
    </xf>
    <xf numFmtId="6" fontId="53" fillId="0" borderId="1" xfId="0" applyNumberFormat="1" applyFont="1" applyBorder="1" applyAlignment="1">
      <alignment horizontal="center"/>
    </xf>
    <xf numFmtId="0" fontId="43" fillId="0" borderId="13" xfId="0" applyFont="1" applyBorder="1"/>
    <xf numFmtId="167" fontId="43" fillId="0" borderId="3" xfId="0" applyNumberFormat="1" applyFont="1" applyBorder="1"/>
    <xf numFmtId="8" fontId="43" fillId="0" borderId="57" xfId="0" applyNumberFormat="1" applyFont="1" applyBorder="1"/>
    <xf numFmtId="164" fontId="43" fillId="0" borderId="57" xfId="0" applyNumberFormat="1" applyFont="1" applyBorder="1" applyAlignment="1">
      <alignment horizontal="center"/>
    </xf>
    <xf numFmtId="167" fontId="43" fillId="0" borderId="57" xfId="0" applyNumberFormat="1" applyFont="1" applyBorder="1" applyAlignment="1">
      <alignment horizontal="center"/>
    </xf>
    <xf numFmtId="6" fontId="43" fillId="0" borderId="57" xfId="0" applyNumberFormat="1" applyFont="1" applyBorder="1" applyAlignment="1">
      <alignment horizontal="center"/>
    </xf>
    <xf numFmtId="42" fontId="43" fillId="0" borderId="13" xfId="0" applyNumberFormat="1" applyFont="1" applyBorder="1" applyAlignment="1">
      <alignment horizontal="center"/>
    </xf>
    <xf numFmtId="167" fontId="43" fillId="0" borderId="1" xfId="0" applyNumberFormat="1" applyFont="1" applyBorder="1" applyAlignment="1">
      <alignment horizontal="center"/>
    </xf>
    <xf numFmtId="167" fontId="43" fillId="0" borderId="1" xfId="0" applyNumberFormat="1" applyFont="1" applyBorder="1"/>
    <xf numFmtId="164" fontId="43" fillId="0" borderId="1" xfId="0" applyNumberFormat="1" applyFont="1" applyBorder="1" applyAlignment="1">
      <alignment horizontal="center"/>
    </xf>
    <xf numFmtId="43" fontId="43" fillId="0" borderId="0" xfId="0" applyNumberFormat="1" applyFont="1"/>
    <xf numFmtId="8" fontId="43" fillId="0" borderId="1" xfId="0" applyNumberFormat="1" applyFont="1" applyBorder="1"/>
    <xf numFmtId="8" fontId="43" fillId="0" borderId="1" xfId="0" applyNumberFormat="1" applyFont="1" applyBorder="1" applyAlignment="1">
      <alignment horizontal="center"/>
    </xf>
    <xf numFmtId="8" fontId="43" fillId="0" borderId="8" xfId="0" applyNumberFormat="1" applyFont="1" applyBorder="1"/>
    <xf numFmtId="167" fontId="43" fillId="0" borderId="8" xfId="0" applyNumberFormat="1" applyFont="1" applyBorder="1" applyAlignment="1">
      <alignment horizontal="center"/>
    </xf>
    <xf numFmtId="6" fontId="43" fillId="0" borderId="8" xfId="0" applyNumberFormat="1" applyFont="1" applyBorder="1" applyAlignment="1">
      <alignment horizontal="center"/>
    </xf>
    <xf numFmtId="0" fontId="43" fillId="0" borderId="33" xfId="0" applyFont="1" applyBorder="1"/>
    <xf numFmtId="8" fontId="43" fillId="0" borderId="33" xfId="0" applyNumberFormat="1" applyFont="1" applyBorder="1"/>
    <xf numFmtId="8" fontId="43" fillId="0" borderId="33" xfId="0" applyNumberFormat="1" applyFont="1" applyBorder="1" applyAlignment="1">
      <alignment horizontal="center"/>
    </xf>
    <xf numFmtId="42" fontId="43" fillId="0" borderId="33" xfId="0" applyNumberFormat="1" applyFont="1" applyBorder="1" applyAlignment="1">
      <alignment horizontal="center"/>
    </xf>
    <xf numFmtId="0" fontId="43" fillId="0" borderId="60" xfId="0" applyFont="1" applyBorder="1"/>
    <xf numFmtId="8" fontId="43" fillId="0" borderId="0" xfId="0" applyNumberFormat="1" applyFont="1"/>
    <xf numFmtId="164" fontId="43" fillId="0" borderId="0" xfId="0" applyNumberFormat="1" applyFont="1" applyAlignment="1">
      <alignment horizontal="center"/>
    </xf>
    <xf numFmtId="167" fontId="43" fillId="0" borderId="61" xfId="0" applyNumberFormat="1" applyFont="1" applyBorder="1" applyAlignment="1">
      <alignment horizontal="center"/>
    </xf>
    <xf numFmtId="8" fontId="44" fillId="0" borderId="0" xfId="0" applyNumberFormat="1" applyFont="1" applyAlignment="1">
      <alignment horizontal="center"/>
    </xf>
    <xf numFmtId="8" fontId="43" fillId="0" borderId="0" xfId="0" applyNumberFormat="1" applyFont="1" applyAlignment="1">
      <alignment horizontal="center"/>
    </xf>
    <xf numFmtId="6" fontId="44" fillId="0" borderId="0" xfId="0" applyNumberFormat="1" applyFont="1" applyAlignment="1">
      <alignment horizontal="center"/>
    </xf>
    <xf numFmtId="6" fontId="43" fillId="0" borderId="0" xfId="0" applyNumberFormat="1" applyFont="1"/>
    <xf numFmtId="14" fontId="43" fillId="0" borderId="0" xfId="0" applyNumberFormat="1" applyFont="1" applyAlignment="1">
      <alignment horizontal="center"/>
    </xf>
    <xf numFmtId="44" fontId="40" fillId="0" borderId="0" xfId="31" applyFont="1"/>
    <xf numFmtId="44" fontId="41" fillId="0" borderId="1" xfId="0" applyNumberFormat="1" applyFont="1" applyBorder="1" applyAlignment="1">
      <alignment horizontal="center"/>
    </xf>
    <xf numFmtId="44" fontId="42" fillId="0" borderId="1" xfId="0" applyNumberFormat="1" applyFont="1" applyBorder="1" applyAlignment="1">
      <alignment horizontal="left"/>
    </xf>
    <xf numFmtId="0" fontId="40" fillId="0" borderId="0" xfId="0" applyFont="1" applyAlignment="1">
      <alignment horizontal="left"/>
    </xf>
    <xf numFmtId="1" fontId="42" fillId="0" borderId="8" xfId="0" applyNumberFormat="1" applyFont="1" applyBorder="1" applyAlignment="1">
      <alignment horizontal="center"/>
    </xf>
    <xf numFmtId="44" fontId="41" fillId="0" borderId="8" xfId="0" applyNumberFormat="1" applyFont="1" applyBorder="1" applyAlignment="1">
      <alignment horizontal="center"/>
    </xf>
    <xf numFmtId="44" fontId="42" fillId="0" borderId="8" xfId="0" applyNumberFormat="1" applyFont="1" applyBorder="1" applyAlignment="1">
      <alignment horizontal="center"/>
    </xf>
    <xf numFmtId="1" fontId="42" fillId="0" borderId="33" xfId="0" applyNumberFormat="1" applyFont="1" applyBorder="1"/>
    <xf numFmtId="44" fontId="42" fillId="0" borderId="33" xfId="0" applyNumberFormat="1" applyFont="1" applyBorder="1" applyAlignment="1">
      <alignment horizontal="center"/>
    </xf>
    <xf numFmtId="0" fontId="48" fillId="0" borderId="0" xfId="0" applyFont="1"/>
    <xf numFmtId="0" fontId="51" fillId="0" borderId="58" xfId="0" applyFont="1" applyBorder="1" applyAlignment="1">
      <alignment horizontal="right"/>
    </xf>
    <xf numFmtId="8" fontId="49" fillId="0" borderId="58" xfId="0" applyNumberFormat="1" applyFont="1" applyBorder="1"/>
    <xf numFmtId="1" fontId="51" fillId="0" borderId="58" xfId="0" applyNumberFormat="1" applyFont="1" applyBorder="1" applyAlignment="1">
      <alignment horizontal="center"/>
    </xf>
    <xf numFmtId="44" fontId="44" fillId="0" borderId="1" xfId="31" applyFont="1" applyBorder="1" applyAlignment="1">
      <alignment horizontal="center"/>
    </xf>
    <xf numFmtId="0" fontId="45" fillId="0" borderId="62" xfId="0" applyFont="1" applyBorder="1"/>
    <xf numFmtId="0" fontId="45" fillId="0" borderId="0" xfId="0" applyFont="1" applyAlignment="1">
      <alignment horizontal="center" vertical="center"/>
    </xf>
    <xf numFmtId="0" fontId="45" fillId="0" borderId="0" xfId="0" applyFont="1" applyAlignment="1">
      <alignment vertical="center"/>
    </xf>
    <xf numFmtId="0" fontId="54" fillId="0" borderId="2" xfId="0" applyFont="1" applyBorder="1" applyAlignment="1">
      <alignment horizontal="center" vertical="center"/>
    </xf>
    <xf numFmtId="0" fontId="54" fillId="0" borderId="2" xfId="0" applyFont="1" applyBorder="1" applyAlignment="1">
      <alignment horizontal="center" vertical="center" wrapText="1"/>
    </xf>
    <xf numFmtId="0" fontId="51" fillId="0" borderId="2" xfId="0" applyFont="1" applyBorder="1" applyAlignment="1">
      <alignment horizontal="center" vertical="center"/>
    </xf>
    <xf numFmtId="0" fontId="51" fillId="0" borderId="2" xfId="0" applyFont="1" applyBorder="1" applyAlignment="1">
      <alignment horizontal="center" vertical="center" wrapText="1"/>
    </xf>
    <xf numFmtId="0" fontId="51" fillId="0" borderId="2" xfId="47" applyFont="1" applyBorder="1" applyAlignment="1">
      <alignment horizontal="center" vertical="center" wrapText="1"/>
    </xf>
    <xf numFmtId="43" fontId="40" fillId="0" borderId="0" xfId="28" applyFont="1"/>
    <xf numFmtId="0" fontId="55" fillId="0" borderId="2" xfId="0" applyFont="1" applyBorder="1" applyAlignment="1">
      <alignment horizontal="center" vertical="center"/>
    </xf>
    <xf numFmtId="0" fontId="40" fillId="0" borderId="57" xfId="0" applyFont="1" applyBorder="1"/>
    <xf numFmtId="0" fontId="56" fillId="0" borderId="0" xfId="0" applyFont="1"/>
    <xf numFmtId="0" fontId="51" fillId="0" borderId="0" xfId="0" applyFont="1"/>
    <xf numFmtId="0" fontId="54" fillId="0" borderId="0" xfId="0" applyFont="1"/>
    <xf numFmtId="0" fontId="41" fillId="0" borderId="58" xfId="0" applyFont="1" applyBorder="1" applyAlignment="1">
      <alignment horizontal="center" vertical="center"/>
    </xf>
    <xf numFmtId="0" fontId="41" fillId="0" borderId="58" xfId="0" applyFont="1" applyBorder="1" applyAlignment="1">
      <alignment horizontal="center" vertical="center" wrapText="1"/>
    </xf>
    <xf numFmtId="0" fontId="42" fillId="0" borderId="1" xfId="0" applyFont="1" applyBorder="1" applyAlignment="1">
      <alignment vertical="center"/>
    </xf>
    <xf numFmtId="0" fontId="57" fillId="0" borderId="1" xfId="0" applyFont="1" applyBorder="1" applyAlignment="1">
      <alignment horizontal="center" vertical="center" wrapText="1"/>
    </xf>
    <xf numFmtId="44" fontId="41" fillId="0" borderId="1" xfId="31" applyFont="1" applyBorder="1" applyAlignment="1">
      <alignment horizontal="right" vertical="center"/>
    </xf>
    <xf numFmtId="172" fontId="42" fillId="0" borderId="1" xfId="0" applyNumberFormat="1" applyFont="1" applyBorder="1" applyAlignment="1">
      <alignment horizontal="center" vertical="center"/>
    </xf>
    <xf numFmtId="44" fontId="42" fillId="0" borderId="1" xfId="31" applyFont="1" applyBorder="1" applyAlignment="1">
      <alignment horizontal="right" vertical="center"/>
    </xf>
    <xf numFmtId="0" fontId="58" fillId="0" borderId="72" xfId="0" applyFont="1" applyBorder="1" applyAlignment="1">
      <alignment horizontal="left" vertical="center"/>
    </xf>
    <xf numFmtId="0" fontId="58" fillId="0" borderId="67" xfId="0" applyFont="1" applyBorder="1" applyAlignment="1">
      <alignment horizontal="left" vertical="center"/>
    </xf>
    <xf numFmtId="44" fontId="59" fillId="0" borderId="67" xfId="0" applyNumberFormat="1" applyFont="1" applyBorder="1" applyAlignment="1">
      <alignment horizontal="center" vertical="center"/>
    </xf>
    <xf numFmtId="0" fontId="59" fillId="0" borderId="67" xfId="0" applyFont="1" applyBorder="1" applyAlignment="1">
      <alignment vertical="center"/>
    </xf>
    <xf numFmtId="0" fontId="59" fillId="0" borderId="0" xfId="0" applyFont="1"/>
    <xf numFmtId="0" fontId="42" fillId="0" borderId="8" xfId="0" applyFont="1" applyBorder="1" applyAlignment="1">
      <alignment horizontal="center"/>
    </xf>
    <xf numFmtId="170" fontId="42" fillId="0" borderId="61" xfId="0" applyNumberFormat="1" applyFont="1" applyBorder="1"/>
    <xf numFmtId="0" fontId="42" fillId="0" borderId="48" xfId="0" applyFont="1" applyBorder="1" applyAlignment="1">
      <alignment horizontal="center"/>
    </xf>
    <xf numFmtId="0" fontId="42" fillId="0" borderId="4" xfId="0" applyFont="1" applyBorder="1"/>
    <xf numFmtId="0" fontId="42" fillId="0" borderId="3" xfId="0" applyFont="1" applyBorder="1" applyAlignment="1">
      <alignment horizontal="center"/>
    </xf>
    <xf numFmtId="0" fontId="51" fillId="0" borderId="0" xfId="0" applyFont="1" applyAlignment="1">
      <alignment horizontal="center"/>
    </xf>
    <xf numFmtId="170" fontId="41" fillId="0" borderId="0" xfId="0" applyNumberFormat="1" applyFont="1"/>
    <xf numFmtId="0" fontId="51" fillId="0" borderId="5" xfId="0" applyFont="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xf>
    <xf numFmtId="0" fontId="40" fillId="0" borderId="0" xfId="0" applyFont="1" applyAlignment="1">
      <alignment horizontal="center" vertical="center"/>
    </xf>
    <xf numFmtId="0" fontId="41" fillId="0" borderId="73" xfId="0" applyFont="1" applyBorder="1" applyAlignment="1">
      <alignment horizontal="center" vertical="center"/>
    </xf>
    <xf numFmtId="171" fontId="40" fillId="0" borderId="1" xfId="0" applyNumberFormat="1" applyFont="1" applyBorder="1" applyAlignment="1">
      <alignment horizontal="right"/>
    </xf>
    <xf numFmtId="171" fontId="60" fillId="0" borderId="1" xfId="0" applyNumberFormat="1" applyFont="1" applyBorder="1" applyAlignment="1">
      <alignment horizontal="right"/>
    </xf>
    <xf numFmtId="0" fontId="55" fillId="0" borderId="2" xfId="0" applyFont="1" applyBorder="1" applyAlignment="1">
      <alignment horizontal="left"/>
    </xf>
    <xf numFmtId="42" fontId="48" fillId="0" borderId="0" xfId="0" applyNumberFormat="1" applyFont="1" applyAlignment="1">
      <alignment horizontal="center"/>
    </xf>
    <xf numFmtId="42" fontId="41" fillId="0" borderId="0" xfId="0" applyNumberFormat="1" applyFont="1" applyAlignment="1">
      <alignment horizontal="center"/>
    </xf>
    <xf numFmtId="171" fontId="55" fillId="0" borderId="2" xfId="0" applyNumberFormat="1" applyFont="1" applyBorder="1" applyAlignment="1">
      <alignment horizontal="right"/>
    </xf>
    <xf numFmtId="0" fontId="55" fillId="0" borderId="2" xfId="0" applyFont="1" applyBorder="1" applyAlignment="1">
      <alignment horizontal="center" vertical="center" wrapText="1"/>
    </xf>
    <xf numFmtId="42" fontId="55" fillId="0" borderId="2" xfId="0" applyNumberFormat="1" applyFont="1" applyBorder="1" applyAlignment="1">
      <alignment horizontal="center" vertical="center" wrapText="1"/>
    </xf>
    <xf numFmtId="0" fontId="47" fillId="0" borderId="0" xfId="0" applyFont="1" applyAlignment="1">
      <alignment vertical="center"/>
    </xf>
    <xf numFmtId="42" fontId="40" fillId="0" borderId="67" xfId="0" applyNumberFormat="1" applyFont="1" applyBorder="1" applyAlignment="1">
      <alignment horizontal="left" vertical="center"/>
    </xf>
    <xf numFmtId="42" fontId="40" fillId="0" borderId="62" xfId="0" applyNumberFormat="1" applyFont="1" applyBorder="1" applyAlignment="1">
      <alignment horizontal="center" vertical="center"/>
    </xf>
    <xf numFmtId="170" fontId="48" fillId="0" borderId="41" xfId="0" applyNumberFormat="1" applyFont="1" applyBorder="1" applyAlignment="1">
      <alignment horizontal="center" vertical="center"/>
    </xf>
    <xf numFmtId="0" fontId="40" fillId="0" borderId="0" xfId="0" applyFont="1" applyAlignment="1">
      <alignment vertical="center"/>
    </xf>
    <xf numFmtId="0" fontId="40" fillId="0" borderId="1" xfId="0" applyFont="1" applyBorder="1" applyAlignment="1">
      <alignment horizontal="center"/>
    </xf>
    <xf numFmtId="44" fontId="40" fillId="0" borderId="1" xfId="0" applyNumberFormat="1" applyFont="1" applyBorder="1"/>
    <xf numFmtId="0" fontId="55" fillId="0" borderId="0" xfId="0" applyFont="1"/>
    <xf numFmtId="42" fontId="42" fillId="0" borderId="1" xfId="0" applyNumberFormat="1" applyFont="1" applyBorder="1"/>
    <xf numFmtId="44" fontId="42" fillId="0" borderId="1" xfId="0" applyNumberFormat="1" applyFont="1" applyBorder="1"/>
    <xf numFmtId="49" fontId="42" fillId="0" borderId="1" xfId="0" applyNumberFormat="1" applyFont="1" applyBorder="1" applyAlignment="1">
      <alignment horizontal="center"/>
    </xf>
    <xf numFmtId="0" fontId="51" fillId="0" borderId="2" xfId="0" applyFont="1" applyBorder="1" applyAlignment="1">
      <alignment horizontal="center"/>
    </xf>
    <xf numFmtId="42" fontId="51" fillId="0" borderId="2" xfId="0" applyNumberFormat="1" applyFont="1" applyBorder="1" applyAlignment="1">
      <alignment horizontal="center"/>
    </xf>
    <xf numFmtId="44" fontId="51" fillId="0" borderId="2" xfId="0" applyNumberFormat="1" applyFont="1" applyBorder="1"/>
    <xf numFmtId="44" fontId="51" fillId="0" borderId="0" xfId="0" applyNumberFormat="1" applyFont="1"/>
    <xf numFmtId="42" fontId="42" fillId="0" borderId="0" xfId="0" applyNumberFormat="1" applyFont="1"/>
    <xf numFmtId="8" fontId="42" fillId="0" borderId="0" xfId="0" applyNumberFormat="1" applyFont="1" applyAlignment="1">
      <alignment horizontal="center"/>
    </xf>
    <xf numFmtId="44" fontId="51" fillId="0" borderId="2" xfId="31" applyFont="1" applyBorder="1" applyAlignment="1">
      <alignment horizontal="center" vertical="center" wrapText="1"/>
    </xf>
    <xf numFmtId="44" fontId="41" fillId="0" borderId="1" xfId="31" applyFont="1" applyBorder="1" applyAlignment="1">
      <alignment horizontal="center"/>
    </xf>
    <xf numFmtId="44" fontId="51" fillId="0" borderId="2" xfId="31" applyFont="1" applyBorder="1" applyAlignment="1">
      <alignment horizontal="center"/>
    </xf>
    <xf numFmtId="44" fontId="51" fillId="0" borderId="2" xfId="0" applyNumberFormat="1" applyFont="1" applyBorder="1" applyAlignment="1">
      <alignment horizontal="center"/>
    </xf>
    <xf numFmtId="0" fontId="48" fillId="0" borderId="74" xfId="0" applyFont="1" applyBorder="1"/>
    <xf numFmtId="0" fontId="48" fillId="0" borderId="57" xfId="0" applyFont="1" applyBorder="1"/>
    <xf numFmtId="0" fontId="48" fillId="0" borderId="57" xfId="0" applyFont="1" applyBorder="1" applyAlignment="1">
      <alignment horizontal="center"/>
    </xf>
    <xf numFmtId="0" fontId="48" fillId="0" borderId="13" xfId="0" applyFont="1" applyBorder="1" applyAlignment="1">
      <alignment horizontal="center"/>
    </xf>
    <xf numFmtId="0" fontId="48" fillId="0" borderId="1" xfId="0" applyFont="1" applyBorder="1" applyAlignment="1">
      <alignment horizontal="center"/>
    </xf>
    <xf numFmtId="0" fontId="48" fillId="0" borderId="1" xfId="0" applyFont="1" applyBorder="1" applyAlignment="1">
      <alignment horizontal="center" wrapText="1"/>
    </xf>
    <xf numFmtId="0" fontId="48" fillId="0" borderId="75" xfId="0" applyFont="1" applyBorder="1" applyAlignment="1">
      <alignment horizontal="center" wrapText="1"/>
    </xf>
    <xf numFmtId="10" fontId="48" fillId="0" borderId="1" xfId="0" applyNumberFormat="1" applyFont="1" applyBorder="1" applyAlignment="1">
      <alignment horizontal="center" wrapText="1"/>
    </xf>
    <xf numFmtId="172" fontId="40" fillId="0" borderId="1" xfId="0" applyNumberFormat="1" applyFont="1" applyBorder="1" applyAlignment="1">
      <alignment horizontal="center"/>
    </xf>
    <xf numFmtId="44" fontId="40" fillId="0" borderId="3" xfId="31" applyFont="1" applyBorder="1" applyAlignment="1">
      <alignment horizontal="center"/>
    </xf>
    <xf numFmtId="0" fontId="40" fillId="0" borderId="52" xfId="0" applyFont="1" applyBorder="1"/>
    <xf numFmtId="0" fontId="40" fillId="0" borderId="74" xfId="0" applyFont="1" applyBorder="1"/>
    <xf numFmtId="0" fontId="48" fillId="0" borderId="57" xfId="0" applyFont="1" applyBorder="1" applyAlignment="1">
      <alignment horizontal="left"/>
    </xf>
    <xf numFmtId="167" fontId="40" fillId="0" borderId="1" xfId="0" applyNumberFormat="1" applyFont="1" applyBorder="1" applyAlignment="1">
      <alignment horizontal="center"/>
    </xf>
    <xf numFmtId="167" fontId="40" fillId="0" borderId="75" xfId="0" applyNumberFormat="1" applyFont="1" applyBorder="1" applyAlignment="1">
      <alignment horizontal="center"/>
    </xf>
    <xf numFmtId="0" fontId="48" fillId="0" borderId="13" xfId="0" applyFont="1" applyBorder="1"/>
    <xf numFmtId="40" fontId="40" fillId="0" borderId="1" xfId="0" applyNumberFormat="1" applyFont="1" applyBorder="1" applyAlignment="1">
      <alignment horizontal="right"/>
    </xf>
    <xf numFmtId="10" fontId="40" fillId="0" borderId="1" xfId="0" applyNumberFormat="1" applyFont="1" applyBorder="1" applyAlignment="1">
      <alignment horizontal="center"/>
    </xf>
    <xf numFmtId="44" fontId="40" fillId="0" borderId="1" xfId="31" applyFont="1" applyBorder="1" applyAlignment="1">
      <alignment horizontal="center"/>
    </xf>
    <xf numFmtId="40" fontId="60" fillId="0" borderId="1" xfId="0" applyNumberFormat="1" applyFont="1" applyBorder="1" applyAlignment="1">
      <alignment horizontal="right"/>
    </xf>
    <xf numFmtId="0" fontId="40" fillId="0" borderId="1" xfId="0" applyFont="1" applyBorder="1" applyAlignment="1">
      <alignment horizontal="center" wrapText="1"/>
    </xf>
    <xf numFmtId="42" fontId="40" fillId="0" borderId="75" xfId="0" applyNumberFormat="1" applyFont="1" applyBorder="1" applyAlignment="1">
      <alignment horizontal="center"/>
    </xf>
    <xf numFmtId="43" fontId="40" fillId="0" borderId="1" xfId="28" applyFont="1" applyBorder="1"/>
    <xf numFmtId="0" fontId="40" fillId="0" borderId="1" xfId="0" quotePrefix="1" applyFont="1" applyBorder="1" applyAlignment="1">
      <alignment horizontal="center"/>
    </xf>
    <xf numFmtId="167" fontId="48" fillId="0" borderId="1" xfId="0" applyNumberFormat="1" applyFont="1" applyBorder="1" applyAlignment="1">
      <alignment horizontal="center"/>
    </xf>
    <xf numFmtId="42" fontId="48" fillId="0" borderId="33" xfId="0" applyNumberFormat="1" applyFont="1" applyBorder="1" applyAlignment="1">
      <alignment horizontal="center"/>
    </xf>
    <xf numFmtId="42" fontId="40" fillId="0" borderId="77" xfId="0" applyNumberFormat="1" applyFont="1" applyBorder="1" applyAlignment="1">
      <alignment horizontal="center"/>
    </xf>
    <xf numFmtId="0" fontId="48" fillId="0" borderId="50" xfId="0" applyFont="1" applyBorder="1" applyAlignment="1">
      <alignment horizontal="center"/>
    </xf>
    <xf numFmtId="167" fontId="48" fillId="0" borderId="50" xfId="0" applyNumberFormat="1" applyFont="1" applyBorder="1" applyAlignment="1">
      <alignment horizontal="center"/>
    </xf>
    <xf numFmtId="42" fontId="48" fillId="0" borderId="50" xfId="0" applyNumberFormat="1" applyFont="1" applyBorder="1" applyAlignment="1">
      <alignment horizontal="center"/>
    </xf>
    <xf numFmtId="42" fontId="40" fillId="0" borderId="50" xfId="0" applyNumberFormat="1" applyFont="1" applyBorder="1" applyAlignment="1">
      <alignment horizontal="center"/>
    </xf>
    <xf numFmtId="43" fontId="61" fillId="0" borderId="0" xfId="28" applyFont="1" applyAlignment="1">
      <alignment horizontal="center"/>
    </xf>
    <xf numFmtId="167" fontId="61" fillId="0" borderId="0" xfId="0" applyNumberFormat="1" applyFont="1" applyAlignment="1">
      <alignment horizontal="center"/>
    </xf>
    <xf numFmtId="167" fontId="40" fillId="0" borderId="0" xfId="0" applyNumberFormat="1" applyFont="1"/>
    <xf numFmtId="0" fontId="48" fillId="0" borderId="54" xfId="0" applyFont="1" applyBorder="1"/>
    <xf numFmtId="0" fontId="48" fillId="0" borderId="54" xfId="0" applyFont="1" applyBorder="1" applyAlignment="1">
      <alignment horizontal="center"/>
    </xf>
    <xf numFmtId="0" fontId="48" fillId="0" borderId="12" xfId="0" applyFont="1" applyBorder="1" applyAlignment="1">
      <alignment horizontal="center"/>
    </xf>
    <xf numFmtId="0" fontId="48" fillId="0" borderId="3" xfId="0" applyFont="1" applyBorder="1" applyAlignment="1">
      <alignment horizontal="center"/>
    </xf>
    <xf numFmtId="0" fontId="48" fillId="0" borderId="3" xfId="0" applyFont="1" applyBorder="1" applyAlignment="1">
      <alignment horizontal="center" wrapText="1"/>
    </xf>
    <xf numFmtId="0" fontId="55" fillId="0" borderId="14" xfId="0" applyFont="1" applyBorder="1" applyAlignment="1">
      <alignment horizontal="center" vertical="center"/>
    </xf>
    <xf numFmtId="0" fontId="62" fillId="0" borderId="6" xfId="0" applyFont="1" applyBorder="1" applyAlignment="1">
      <alignment horizontal="center" vertical="center"/>
    </xf>
    <xf numFmtId="0" fontId="62" fillId="0" borderId="6" xfId="0" applyFont="1" applyBorder="1" applyAlignment="1">
      <alignment horizontal="center" vertical="center" wrapText="1"/>
    </xf>
    <xf numFmtId="0" fontId="62" fillId="0" borderId="36" xfId="0" applyFont="1" applyBorder="1" applyAlignment="1">
      <alignment horizontal="center" vertical="center" wrapText="1"/>
    </xf>
    <xf numFmtId="10" fontId="48" fillId="0" borderId="4" xfId="0" applyNumberFormat="1" applyFont="1" applyBorder="1" applyAlignment="1">
      <alignment horizontal="center" wrapText="1"/>
    </xf>
    <xf numFmtId="0" fontId="48" fillId="0" borderId="79" xfId="0" applyFont="1" applyBorder="1" applyAlignment="1">
      <alignment horizontal="center" wrapText="1"/>
    </xf>
    <xf numFmtId="0" fontId="55" fillId="0" borderId="69" xfId="0" applyFont="1" applyBorder="1" applyAlignment="1">
      <alignment horizontal="center"/>
    </xf>
    <xf numFmtId="0" fontId="55" fillId="0" borderId="15" xfId="0" applyFont="1" applyBorder="1" applyAlignment="1">
      <alignment horizontal="center"/>
    </xf>
    <xf numFmtId="0" fontId="55" fillId="0" borderId="33" xfId="0" applyFont="1" applyBorder="1" applyAlignment="1">
      <alignment horizontal="center"/>
    </xf>
    <xf numFmtId="0" fontId="55" fillId="0" borderId="69" xfId="0" applyFont="1" applyBorder="1"/>
    <xf numFmtId="0" fontId="55" fillId="0" borderId="62" xfId="0" applyFont="1" applyBorder="1" applyAlignment="1">
      <alignment horizontal="left"/>
    </xf>
    <xf numFmtId="0" fontId="55" fillId="0" borderId="41" xfId="0" applyFont="1" applyBorder="1" applyAlignment="1">
      <alignment horizontal="center"/>
    </xf>
    <xf numFmtId="167" fontId="55" fillId="0" borderId="41" xfId="0" applyNumberFormat="1" applyFont="1" applyBorder="1" applyAlignment="1">
      <alignment horizontal="center"/>
    </xf>
    <xf numFmtId="10" fontId="55" fillId="0" borderId="41" xfId="0" applyNumberFormat="1" applyFont="1" applyBorder="1" applyAlignment="1">
      <alignment horizontal="center"/>
    </xf>
    <xf numFmtId="43" fontId="55" fillId="0" borderId="41" xfId="28" applyFont="1" applyBorder="1" applyAlignment="1">
      <alignment horizontal="center"/>
    </xf>
    <xf numFmtId="167" fontId="47" fillId="0" borderId="0" xfId="0" applyNumberFormat="1" applyFont="1"/>
    <xf numFmtId="0" fontId="56" fillId="0" borderId="6" xfId="0" applyFont="1" applyBorder="1" applyAlignment="1">
      <alignment horizontal="center" vertical="center" wrapText="1"/>
    </xf>
    <xf numFmtId="0" fontId="41" fillId="0" borderId="0" xfId="0" applyFont="1" applyAlignment="1">
      <alignment vertical="center"/>
    </xf>
    <xf numFmtId="44" fontId="40" fillId="0" borderId="1" xfId="31" applyFont="1" applyBorder="1"/>
    <xf numFmtId="173" fontId="40" fillId="0" borderId="75" xfId="31" applyNumberFormat="1" applyFont="1" applyBorder="1"/>
    <xf numFmtId="0" fontId="63" fillId="0" borderId="13" xfId="0" applyFont="1" applyBorder="1"/>
    <xf numFmtId="44" fontId="48" fillId="0" borderId="1" xfId="31" applyFont="1" applyBorder="1"/>
    <xf numFmtId="44" fontId="40" fillId="0" borderId="75" xfId="31" applyFont="1" applyBorder="1"/>
    <xf numFmtId="44" fontId="40" fillId="0" borderId="8" xfId="31" applyFont="1" applyBorder="1"/>
    <xf numFmtId="44" fontId="48" fillId="0" borderId="48" xfId="31" applyFont="1" applyBorder="1"/>
    <xf numFmtId="3" fontId="40" fillId="0" borderId="47" xfId="0" applyNumberFormat="1" applyFont="1" applyBorder="1" applyAlignment="1">
      <alignment horizontal="right"/>
    </xf>
    <xf numFmtId="44" fontId="40" fillId="0" borderId="13" xfId="0" applyNumberFormat="1" applyFont="1" applyBorder="1"/>
    <xf numFmtId="44" fontId="40" fillId="0" borderId="1" xfId="31" applyFont="1" applyBorder="1" applyAlignment="1">
      <alignment horizontal="right"/>
    </xf>
    <xf numFmtId="44" fontId="40" fillId="0" borderId="1" xfId="0" applyNumberFormat="1" applyFont="1" applyBorder="1" applyAlignment="1">
      <alignment horizontal="right"/>
    </xf>
    <xf numFmtId="3" fontId="40" fillId="0" borderId="1" xfId="0" applyNumberFormat="1" applyFont="1" applyBorder="1" applyAlignment="1">
      <alignment horizontal="right"/>
    </xf>
    <xf numFmtId="3" fontId="40" fillId="0" borderId="1" xfId="0" applyNumberFormat="1" applyFont="1" applyBorder="1"/>
    <xf numFmtId="44" fontId="40" fillId="0" borderId="3" xfId="31" applyFont="1" applyBorder="1" applyAlignment="1">
      <alignment horizontal="right"/>
    </xf>
    <xf numFmtId="3" fontId="40" fillId="0" borderId="8" xfId="0" applyNumberFormat="1" applyFont="1" applyBorder="1"/>
    <xf numFmtId="44" fontId="40" fillId="0" borderId="8" xfId="0" applyNumberFormat="1" applyFont="1" applyBorder="1"/>
    <xf numFmtId="0" fontId="57" fillId="0" borderId="0" xfId="0" applyFont="1"/>
    <xf numFmtId="0" fontId="48" fillId="0" borderId="6" xfId="0" applyFont="1" applyBorder="1" applyAlignment="1">
      <alignment horizontal="center" vertical="center" wrapText="1"/>
    </xf>
    <xf numFmtId="0" fontId="48" fillId="0" borderId="36" xfId="0" applyFont="1" applyBorder="1" applyAlignment="1">
      <alignment horizontal="center" vertical="center" wrapText="1"/>
    </xf>
    <xf numFmtId="0" fontId="40" fillId="0" borderId="0" xfId="0" applyFont="1" applyAlignment="1">
      <alignment horizontal="center" vertical="center" wrapText="1"/>
    </xf>
    <xf numFmtId="0" fontId="41" fillId="0" borderId="7" xfId="0" applyFont="1" applyBorder="1"/>
    <xf numFmtId="0" fontId="42" fillId="0" borderId="21" xfId="0" applyFont="1" applyBorder="1" applyAlignment="1">
      <alignment horizontal="left"/>
    </xf>
    <xf numFmtId="3" fontId="42" fillId="0" borderId="29" xfId="0" applyNumberFormat="1" applyFont="1" applyBorder="1" applyAlignment="1">
      <alignment horizontal="center"/>
    </xf>
    <xf numFmtId="3" fontId="41" fillId="0" borderId="29" xfId="0" applyNumberFormat="1" applyFont="1" applyBorder="1" applyAlignment="1">
      <alignment horizontal="center"/>
    </xf>
    <xf numFmtId="17" fontId="42" fillId="0" borderId="22" xfId="0" applyNumberFormat="1" applyFont="1" applyBorder="1" applyAlignment="1">
      <alignment horizontal="left"/>
    </xf>
    <xf numFmtId="17" fontId="42" fillId="0" borderId="23" xfId="0" applyNumberFormat="1" applyFont="1" applyBorder="1" applyAlignment="1">
      <alignment horizontal="left"/>
    </xf>
    <xf numFmtId="17" fontId="43" fillId="0" borderId="23" xfId="0" applyNumberFormat="1" applyFont="1" applyBorder="1" applyAlignment="1">
      <alignment horizontal="left"/>
    </xf>
    <xf numFmtId="3" fontId="42" fillId="0" borderId="3" xfId="0" applyNumberFormat="1" applyFont="1" applyBorder="1" applyAlignment="1">
      <alignment horizontal="center"/>
    </xf>
    <xf numFmtId="3" fontId="41" fillId="0" borderId="30" xfId="0" applyNumberFormat="1" applyFont="1" applyBorder="1" applyAlignment="1">
      <alignment horizontal="center"/>
    </xf>
    <xf numFmtId="0" fontId="41" fillId="0" borderId="18" xfId="0" applyFont="1" applyBorder="1" applyAlignment="1">
      <alignment horizontal="center" vertical="center"/>
    </xf>
    <xf numFmtId="0" fontId="44" fillId="0" borderId="7" xfId="0" applyFont="1" applyBorder="1" applyAlignment="1">
      <alignment horizontal="center" wrapText="1"/>
    </xf>
    <xf numFmtId="0" fontId="43" fillId="0" borderId="39" xfId="0" applyFont="1" applyBorder="1"/>
    <xf numFmtId="17" fontId="44" fillId="0" borderId="20" xfId="0" applyNumberFormat="1" applyFont="1" applyBorder="1" applyAlignment="1">
      <alignment horizontal="center"/>
    </xf>
    <xf numFmtId="17" fontId="44" fillId="0" borderId="6" xfId="0" applyNumberFormat="1" applyFont="1" applyBorder="1" applyAlignment="1">
      <alignment horizontal="center"/>
    </xf>
    <xf numFmtId="17" fontId="44" fillId="0" borderId="36" xfId="0" applyNumberFormat="1" applyFont="1" applyBorder="1" applyAlignment="1">
      <alignment horizontal="center"/>
    </xf>
    <xf numFmtId="3" fontId="43" fillId="0" borderId="29" xfId="0" applyNumberFormat="1" applyFont="1" applyBorder="1" applyAlignment="1">
      <alignment horizontal="center"/>
    </xf>
    <xf numFmtId="3" fontId="44" fillId="0" borderId="30" xfId="0" applyNumberFormat="1" applyFont="1" applyBorder="1" applyAlignment="1">
      <alignment horizontal="center"/>
    </xf>
    <xf numFmtId="17" fontId="43" fillId="0" borderId="0" xfId="0" applyNumberFormat="1" applyFont="1" applyAlignment="1">
      <alignment horizontal="left"/>
    </xf>
    <xf numFmtId="3" fontId="43" fillId="0" borderId="0" xfId="0" applyNumberFormat="1" applyFont="1" applyAlignment="1">
      <alignment horizontal="center"/>
    </xf>
    <xf numFmtId="3" fontId="44" fillId="0" borderId="0" xfId="0" applyNumberFormat="1" applyFont="1" applyAlignment="1">
      <alignment horizontal="center"/>
    </xf>
    <xf numFmtId="3" fontId="43" fillId="0" borderId="3" xfId="0" applyNumberFormat="1" applyFont="1" applyBorder="1" applyAlignment="1">
      <alignment horizontal="center"/>
    </xf>
    <xf numFmtId="3" fontId="43" fillId="0" borderId="4" xfId="0" applyNumberFormat="1" applyFont="1" applyBorder="1" applyAlignment="1">
      <alignment horizontal="center"/>
    </xf>
    <xf numFmtId="3" fontId="43" fillId="0" borderId="30" xfId="0" applyNumberFormat="1" applyFont="1" applyBorder="1" applyAlignment="1">
      <alignment horizontal="center"/>
    </xf>
    <xf numFmtId="38" fontId="5" fillId="0" borderId="0" xfId="0" applyNumberFormat="1" applyFont="1"/>
    <xf numFmtId="49" fontId="8" fillId="0" borderId="13" xfId="0" applyNumberFormat="1" applyFont="1" applyBorder="1" applyAlignment="1">
      <alignment horizontal="center"/>
    </xf>
    <xf numFmtId="0" fontId="7" fillId="7" borderId="11" xfId="0" applyFont="1" applyFill="1" applyBorder="1"/>
    <xf numFmtId="3" fontId="43" fillId="0" borderId="69" xfId="0" applyNumberFormat="1" applyFont="1" applyBorder="1" applyAlignment="1">
      <alignment horizontal="center"/>
    </xf>
    <xf numFmtId="3" fontId="44" fillId="0" borderId="69" xfId="0" applyNumberFormat="1" applyFont="1" applyBorder="1" applyAlignment="1">
      <alignment horizontal="center"/>
    </xf>
    <xf numFmtId="17" fontId="10" fillId="7" borderId="22" xfId="0" applyNumberFormat="1" applyFont="1" applyFill="1" applyBorder="1" applyAlignment="1">
      <alignment horizontal="left"/>
    </xf>
    <xf numFmtId="49" fontId="8" fillId="7" borderId="12" xfId="0" applyNumberFormat="1" applyFont="1" applyFill="1" applyBorder="1" applyAlignment="1">
      <alignment horizontal="center"/>
    </xf>
    <xf numFmtId="3" fontId="8" fillId="7" borderId="3" xfId="0" applyNumberFormat="1" applyFont="1" applyFill="1" applyBorder="1" applyAlignment="1">
      <alignment horizontal="center"/>
    </xf>
    <xf numFmtId="3" fontId="16" fillId="7" borderId="29" xfId="0" applyNumberFormat="1" applyFont="1" applyFill="1" applyBorder="1" applyAlignment="1">
      <alignment horizontal="center"/>
    </xf>
    <xf numFmtId="3" fontId="15" fillId="7" borderId="37" xfId="0" applyNumberFormat="1" applyFont="1" applyFill="1" applyBorder="1" applyAlignment="1">
      <alignment horizontal="center"/>
    </xf>
    <xf numFmtId="3" fontId="10" fillId="7" borderId="3" xfId="0" applyNumberFormat="1" applyFont="1" applyFill="1" applyBorder="1" applyAlignment="1">
      <alignment horizontal="center"/>
    </xf>
    <xf numFmtId="3" fontId="10" fillId="7" borderId="4" xfId="0" applyNumberFormat="1" applyFont="1" applyFill="1" applyBorder="1" applyAlignment="1">
      <alignment horizontal="center"/>
    </xf>
    <xf numFmtId="3" fontId="15" fillId="7" borderId="29" xfId="0" applyNumberFormat="1" applyFont="1" applyFill="1" applyBorder="1" applyAlignment="1">
      <alignment horizontal="center"/>
    </xf>
    <xf numFmtId="3" fontId="10" fillId="7" borderId="29" xfId="0" applyNumberFormat="1" applyFont="1" applyFill="1" applyBorder="1" applyAlignment="1">
      <alignment horizontal="center"/>
    </xf>
    <xf numFmtId="3" fontId="11" fillId="7" borderId="29" xfId="0" applyNumberFormat="1" applyFont="1" applyFill="1" applyBorder="1" applyAlignment="1">
      <alignment horizontal="center"/>
    </xf>
    <xf numFmtId="0" fontId="43" fillId="0" borderId="0" xfId="0" applyFont="1" applyAlignment="1">
      <alignment horizontal="left"/>
    </xf>
    <xf numFmtId="0" fontId="63" fillId="0" borderId="0" xfId="0" applyFont="1" applyAlignment="1">
      <alignment horizontal="center"/>
    </xf>
    <xf numFmtId="41" fontId="42" fillId="0" borderId="0" xfId="0" applyNumberFormat="1" applyFont="1" applyAlignment="1">
      <alignment horizontal="center"/>
    </xf>
    <xf numFmtId="1" fontId="42" fillId="0" borderId="0" xfId="0" applyNumberFormat="1" applyFont="1" applyAlignment="1">
      <alignment horizontal="center"/>
    </xf>
    <xf numFmtId="17" fontId="63" fillId="0" borderId="0" xfId="0" applyNumberFormat="1" applyFont="1" applyAlignment="1">
      <alignment horizontal="center"/>
    </xf>
    <xf numFmtId="17" fontId="44" fillId="0" borderId="0" xfId="0" applyNumberFormat="1" applyFont="1" applyAlignment="1">
      <alignment horizontal="left"/>
    </xf>
    <xf numFmtId="17" fontId="63" fillId="0" borderId="0" xfId="0" applyNumberFormat="1" applyFont="1" applyAlignment="1">
      <alignment horizontal="left"/>
    </xf>
    <xf numFmtId="17" fontId="42" fillId="0" borderId="0" xfId="0" applyNumberFormat="1" applyFont="1" applyAlignment="1">
      <alignment horizontal="left"/>
    </xf>
    <xf numFmtId="165" fontId="42" fillId="0" borderId="0" xfId="0" applyNumberFormat="1" applyFont="1" applyAlignment="1">
      <alignment horizontal="center"/>
    </xf>
    <xf numFmtId="44" fontId="64" fillId="0" borderId="1" xfId="31" applyFont="1" applyBorder="1"/>
    <xf numFmtId="0" fontId="5" fillId="5" borderId="0" xfId="0" applyFont="1" applyFill="1"/>
    <xf numFmtId="0" fontId="5" fillId="0" borderId="0" xfId="0" applyFont="1" applyAlignment="1">
      <alignment wrapText="1"/>
    </xf>
    <xf numFmtId="0" fontId="51" fillId="0" borderId="0" xfId="0" applyFont="1" applyAlignment="1">
      <alignment vertical="center"/>
    </xf>
    <xf numFmtId="0" fontId="4" fillId="0" borderId="72" xfId="0" applyFont="1" applyBorder="1" applyAlignment="1">
      <alignment horizontal="center" vertical="center"/>
    </xf>
    <xf numFmtId="170" fontId="0" fillId="2" borderId="80" xfId="0" applyNumberFormat="1" applyFill="1" applyBorder="1"/>
    <xf numFmtId="44" fontId="0" fillId="0" borderId="1" xfId="0" applyNumberFormat="1" applyBorder="1"/>
    <xf numFmtId="0" fontId="37" fillId="2" borderId="46" xfId="0" applyFont="1" applyFill="1" applyBorder="1" applyAlignment="1">
      <alignment horizontal="center" vertical="center"/>
    </xf>
    <xf numFmtId="44" fontId="0" fillId="0" borderId="0" xfId="0" applyNumberFormat="1"/>
    <xf numFmtId="0" fontId="5" fillId="0" borderId="1" xfId="0" applyFont="1" applyBorder="1"/>
    <xf numFmtId="4" fontId="5" fillId="0" borderId="1" xfId="0" applyNumberFormat="1" applyFont="1" applyBorder="1"/>
    <xf numFmtId="3" fontId="5" fillId="0" borderId="1" xfId="0" applyNumberFormat="1" applyFont="1" applyBorder="1"/>
    <xf numFmtId="0" fontId="40" fillId="0" borderId="61" xfId="0" applyFont="1" applyBorder="1"/>
    <xf numFmtId="0" fontId="35" fillId="0" borderId="13" xfId="0" applyFont="1" applyBorder="1"/>
    <xf numFmtId="44" fontId="35" fillId="0" borderId="1" xfId="31" applyFont="1" applyBorder="1"/>
    <xf numFmtId="44" fontId="35" fillId="0" borderId="75" xfId="31" applyFont="1" applyBorder="1"/>
    <xf numFmtId="0" fontId="35" fillId="0" borderId="74" xfId="0" applyFont="1" applyBorder="1"/>
    <xf numFmtId="0" fontId="35" fillId="0" borderId="70" xfId="0" applyFont="1" applyBorder="1"/>
    <xf numFmtId="44" fontId="35" fillId="0" borderId="70" xfId="31" applyFont="1" applyBorder="1"/>
    <xf numFmtId="44" fontId="40" fillId="0" borderId="48" xfId="31" applyFont="1" applyBorder="1"/>
    <xf numFmtId="44" fontId="40" fillId="0" borderId="81" xfId="31" applyFont="1" applyBorder="1"/>
    <xf numFmtId="0" fontId="41" fillId="0" borderId="14" xfId="0" applyFont="1" applyBorder="1"/>
    <xf numFmtId="44" fontId="41" fillId="0" borderId="32" xfId="0" applyNumberFormat="1" applyFont="1" applyBorder="1"/>
    <xf numFmtId="44" fontId="41" fillId="0" borderId="14" xfId="0" applyNumberFormat="1" applyFont="1" applyBorder="1"/>
    <xf numFmtId="40" fontId="41" fillId="0" borderId="14" xfId="0" applyNumberFormat="1" applyFont="1" applyBorder="1"/>
    <xf numFmtId="44" fontId="41" fillId="0" borderId="6" xfId="0" applyNumberFormat="1" applyFont="1" applyBorder="1"/>
    <xf numFmtId="0" fontId="40" fillId="0" borderId="5" xfId="0" applyFont="1" applyBorder="1"/>
    <xf numFmtId="0" fontId="40" fillId="0" borderId="9" xfId="0" applyFont="1" applyBorder="1"/>
    <xf numFmtId="40" fontId="40" fillId="0" borderId="0" xfId="0" applyNumberFormat="1" applyFont="1"/>
    <xf numFmtId="43" fontId="47" fillId="0" borderId="0" xfId="0" applyNumberFormat="1" applyFont="1"/>
    <xf numFmtId="43" fontId="40" fillId="0" borderId="0" xfId="0" applyNumberFormat="1" applyFont="1"/>
    <xf numFmtId="0" fontId="63" fillId="0" borderId="0" xfId="0" applyFont="1"/>
    <xf numFmtId="0" fontId="63" fillId="0" borderId="0" xfId="0" applyFont="1" applyAlignment="1">
      <alignment horizontal="center" vertical="center" wrapText="1"/>
    </xf>
    <xf numFmtId="44" fontId="63" fillId="0" borderId="0" xfId="31" applyFont="1"/>
    <xf numFmtId="0" fontId="55" fillId="0" borderId="82" xfId="0" applyFont="1" applyBorder="1"/>
    <xf numFmtId="0" fontId="55" fillId="0" borderId="58" xfId="0" applyFont="1" applyBorder="1"/>
    <xf numFmtId="3" fontId="40" fillId="0" borderId="0" xfId="0" applyNumberFormat="1" applyFont="1"/>
    <xf numFmtId="44" fontId="63" fillId="0" borderId="0" xfId="0" applyNumberFormat="1" applyFont="1"/>
    <xf numFmtId="9" fontId="10" fillId="0" borderId="38" xfId="0" applyNumberFormat="1" applyFont="1" applyBorder="1" applyAlignment="1">
      <alignment horizontal="center" wrapText="1"/>
    </xf>
    <xf numFmtId="0" fontId="67" fillId="0" borderId="25" xfId="0" applyFont="1" applyBorder="1" applyAlignment="1">
      <alignment horizontal="center"/>
    </xf>
    <xf numFmtId="0" fontId="41" fillId="0" borderId="32" xfId="0" applyFont="1" applyBorder="1"/>
    <xf numFmtId="0" fontId="35" fillId="0" borderId="5" xfId="0" applyFont="1" applyBorder="1"/>
    <xf numFmtId="170" fontId="0" fillId="0" borderId="47" xfId="0" applyNumberFormat="1" applyBorder="1"/>
    <xf numFmtId="3" fontId="40" fillId="0" borderId="3" xfId="0" applyNumberFormat="1" applyFont="1" applyBorder="1" applyAlignment="1">
      <alignment horizontal="right"/>
    </xf>
    <xf numFmtId="0" fontId="11" fillId="0" borderId="31" xfId="0" applyFont="1" applyBorder="1"/>
    <xf numFmtId="0" fontId="70" fillId="0" borderId="0" xfId="0" applyFont="1"/>
    <xf numFmtId="0" fontId="71" fillId="0" borderId="0" xfId="0" applyFont="1"/>
    <xf numFmtId="3" fontId="70" fillId="0" borderId="0" xfId="0" applyNumberFormat="1" applyFont="1" applyAlignment="1">
      <alignment horizontal="center"/>
    </xf>
    <xf numFmtId="8" fontId="39" fillId="0" borderId="1" xfId="0" applyNumberFormat="1" applyFont="1" applyBorder="1" applyAlignment="1">
      <alignment horizontal="center"/>
    </xf>
    <xf numFmtId="0" fontId="62" fillId="0" borderId="0" xfId="0" applyFont="1"/>
    <xf numFmtId="0" fontId="35" fillId="0" borderId="57" xfId="0" applyFont="1" applyBorder="1"/>
    <xf numFmtId="0" fontId="25" fillId="0" borderId="0" xfId="0" applyFont="1"/>
    <xf numFmtId="0" fontId="5" fillId="8" borderId="1" xfId="0" applyFont="1" applyFill="1" applyBorder="1" applyAlignment="1">
      <alignment horizontal="center"/>
    </xf>
    <xf numFmtId="0" fontId="5" fillId="0" borderId="1" xfId="0" applyFont="1" applyBorder="1" applyAlignment="1">
      <alignment horizontal="center"/>
    </xf>
    <xf numFmtId="0" fontId="0" fillId="0" borderId="1" xfId="0" applyBorder="1" applyAlignment="1">
      <alignment horizontal="center"/>
    </xf>
    <xf numFmtId="0" fontId="68" fillId="0" borderId="0" xfId="0" applyFont="1" applyAlignment="1">
      <alignment horizontal="center"/>
    </xf>
    <xf numFmtId="0" fontId="0" fillId="0" borderId="0" xfId="0" applyAlignment="1">
      <alignment horizontal="center"/>
    </xf>
    <xf numFmtId="0" fontId="0" fillId="2" borderId="0" xfId="0" applyFill="1" applyAlignment="1">
      <alignment vertical="top"/>
    </xf>
    <xf numFmtId="0" fontId="35" fillId="0" borderId="83" xfId="0" applyFont="1" applyBorder="1" applyAlignment="1">
      <alignment horizontal="center" vertical="center" wrapText="1"/>
    </xf>
    <xf numFmtId="4" fontId="5" fillId="0" borderId="13" xfId="0" applyNumberFormat="1" applyFont="1" applyBorder="1"/>
    <xf numFmtId="0" fontId="7" fillId="40" borderId="11" xfId="0" applyFont="1" applyFill="1" applyBorder="1"/>
    <xf numFmtId="17" fontId="10" fillId="40" borderId="22" xfId="0" applyNumberFormat="1" applyFont="1" applyFill="1" applyBorder="1" applyAlignment="1">
      <alignment horizontal="left"/>
    </xf>
    <xf numFmtId="49" fontId="8" fillId="40" borderId="12" xfId="0" applyNumberFormat="1" applyFont="1" applyFill="1" applyBorder="1" applyAlignment="1">
      <alignment horizontal="center"/>
    </xf>
    <xf numFmtId="3" fontId="8" fillId="40" borderId="3" xfId="0" applyNumberFormat="1" applyFont="1" applyFill="1" applyBorder="1" applyAlignment="1">
      <alignment horizontal="center"/>
    </xf>
    <xf numFmtId="3" fontId="16" fillId="40" borderId="29" xfId="0" applyNumberFormat="1" applyFont="1" applyFill="1" applyBorder="1" applyAlignment="1">
      <alignment horizontal="center"/>
    </xf>
    <xf numFmtId="3" fontId="15" fillId="40" borderId="37" xfId="0" applyNumberFormat="1" applyFont="1" applyFill="1" applyBorder="1" applyAlignment="1">
      <alignment horizontal="center"/>
    </xf>
    <xf numFmtId="3" fontId="10" fillId="40" borderId="3" xfId="0" applyNumberFormat="1" applyFont="1" applyFill="1" applyBorder="1" applyAlignment="1">
      <alignment horizontal="center"/>
    </xf>
    <xf numFmtId="3" fontId="10" fillId="40" borderId="4" xfId="0" applyNumberFormat="1" applyFont="1" applyFill="1" applyBorder="1" applyAlignment="1">
      <alignment horizontal="center"/>
    </xf>
    <xf numFmtId="3" fontId="15" fillId="40" borderId="29" xfId="0" applyNumberFormat="1" applyFont="1" applyFill="1" applyBorder="1" applyAlignment="1">
      <alignment horizontal="center"/>
    </xf>
    <xf numFmtId="3" fontId="10" fillId="40" borderId="29" xfId="0" applyNumberFormat="1" applyFont="1" applyFill="1" applyBorder="1" applyAlignment="1">
      <alignment horizontal="center"/>
    </xf>
    <xf numFmtId="3" fontId="11" fillId="40" borderId="29" xfId="0" applyNumberFormat="1" applyFont="1" applyFill="1" applyBorder="1" applyAlignment="1">
      <alignment horizontal="center"/>
    </xf>
    <xf numFmtId="0" fontId="6" fillId="0" borderId="0" xfId="0" applyFont="1"/>
    <xf numFmtId="0" fontId="74" fillId="0" borderId="0" xfId="0" applyFont="1"/>
    <xf numFmtId="0" fontId="75" fillId="0" borderId="0" xfId="0" applyFont="1"/>
    <xf numFmtId="3" fontId="74" fillId="0" borderId="0" xfId="0" applyNumberFormat="1" applyFont="1" applyAlignment="1">
      <alignment horizontal="center"/>
    </xf>
    <xf numFmtId="3" fontId="76" fillId="0" borderId="0" xfId="0" applyNumberFormat="1" applyFont="1" applyAlignment="1">
      <alignment horizontal="center"/>
    </xf>
    <xf numFmtId="3" fontId="77" fillId="0" borderId="0" xfId="0" applyNumberFormat="1" applyFont="1" applyAlignment="1">
      <alignment horizontal="center"/>
    </xf>
    <xf numFmtId="3" fontId="78" fillId="0" borderId="0" xfId="0" applyNumberFormat="1" applyFont="1" applyAlignment="1">
      <alignment horizontal="center"/>
    </xf>
    <xf numFmtId="0" fontId="73" fillId="41" borderId="11" xfId="0" applyFont="1" applyFill="1" applyBorder="1"/>
    <xf numFmtId="17" fontId="10" fillId="41" borderId="22" xfId="0" applyNumberFormat="1" applyFont="1" applyFill="1" applyBorder="1" applyAlignment="1">
      <alignment horizontal="left"/>
    </xf>
    <xf numFmtId="49" fontId="8" fillId="41" borderId="12" xfId="0" applyNumberFormat="1" applyFont="1" applyFill="1" applyBorder="1" applyAlignment="1">
      <alignment horizontal="center"/>
    </xf>
    <xf numFmtId="3" fontId="8" fillId="41" borderId="3" xfId="0" applyNumberFormat="1" applyFont="1" applyFill="1" applyBorder="1" applyAlignment="1">
      <alignment horizontal="center"/>
    </xf>
    <xf numFmtId="3" fontId="16" fillId="41" borderId="29" xfId="0" applyNumberFormat="1" applyFont="1" applyFill="1" applyBorder="1" applyAlignment="1">
      <alignment horizontal="center"/>
    </xf>
    <xf numFmtId="3" fontId="15" fillId="41" borderId="37" xfId="0" applyNumberFormat="1" applyFont="1" applyFill="1" applyBorder="1" applyAlignment="1">
      <alignment horizontal="center"/>
    </xf>
    <xf numFmtId="3" fontId="10" fillId="41" borderId="3" xfId="0" applyNumberFormat="1" applyFont="1" applyFill="1" applyBorder="1" applyAlignment="1">
      <alignment horizontal="center"/>
    </xf>
    <xf numFmtId="3" fontId="10" fillId="41" borderId="4" xfId="0" applyNumberFormat="1" applyFont="1" applyFill="1" applyBorder="1" applyAlignment="1">
      <alignment horizontal="center"/>
    </xf>
    <xf numFmtId="3" fontId="15" fillId="41" borderId="29" xfId="0" applyNumberFormat="1" applyFont="1" applyFill="1" applyBorder="1" applyAlignment="1">
      <alignment horizontal="center"/>
    </xf>
    <xf numFmtId="3" fontId="10" fillId="41" borderId="29" xfId="0" applyNumberFormat="1" applyFont="1" applyFill="1" applyBorder="1" applyAlignment="1">
      <alignment horizontal="center"/>
    </xf>
    <xf numFmtId="3" fontId="11" fillId="41" borderId="29" xfId="0" applyNumberFormat="1" applyFont="1" applyFill="1" applyBorder="1" applyAlignment="1">
      <alignment horizontal="center"/>
    </xf>
    <xf numFmtId="3" fontId="11" fillId="42" borderId="11" xfId="0" applyNumberFormat="1" applyFont="1" applyFill="1" applyBorder="1" applyAlignment="1">
      <alignment horizontal="center"/>
    </xf>
    <xf numFmtId="17" fontId="41" fillId="43" borderId="20" xfId="0" applyNumberFormat="1" applyFont="1" applyFill="1" applyBorder="1" applyAlignment="1">
      <alignment horizontal="center"/>
    </xf>
    <xf numFmtId="3" fontId="41" fillId="43" borderId="11" xfId="0" applyNumberFormat="1" applyFont="1" applyFill="1" applyBorder="1" applyAlignment="1">
      <alignment horizontal="center"/>
    </xf>
    <xf numFmtId="0" fontId="41" fillId="43" borderId="20" xfId="0" applyFont="1" applyFill="1" applyBorder="1" applyAlignment="1">
      <alignment horizontal="center"/>
    </xf>
    <xf numFmtId="3" fontId="41" fillId="43" borderId="6" xfId="0" applyNumberFormat="1" applyFont="1" applyFill="1" applyBorder="1" applyAlignment="1">
      <alignment horizontal="center"/>
    </xf>
    <xf numFmtId="1" fontId="42" fillId="0" borderId="13" xfId="0" applyNumberFormat="1" applyFont="1" applyBorder="1" applyAlignment="1">
      <alignment horizontal="center"/>
    </xf>
    <xf numFmtId="0" fontId="45" fillId="0" borderId="0" xfId="0" applyFont="1" applyAlignment="1">
      <alignment horizontal="center" wrapText="1"/>
    </xf>
    <xf numFmtId="0" fontId="69" fillId="0" borderId="1" xfId="50" applyFont="1" applyBorder="1" applyAlignment="1">
      <alignment horizontal="center" vertical="top" wrapText="1"/>
    </xf>
    <xf numFmtId="42" fontId="63" fillId="0" borderId="0" xfId="0" applyNumberFormat="1" applyFont="1" applyAlignment="1">
      <alignment horizontal="center"/>
    </xf>
    <xf numFmtId="44" fontId="57" fillId="0" borderId="0" xfId="0" applyNumberFormat="1" applyFont="1"/>
    <xf numFmtId="167" fontId="55" fillId="42" borderId="84" xfId="0" applyNumberFormat="1" applyFont="1" applyFill="1" applyBorder="1" applyAlignment="1">
      <alignment horizontal="center"/>
    </xf>
    <xf numFmtId="167" fontId="55" fillId="42" borderId="33" xfId="0" applyNumberFormat="1" applyFont="1" applyFill="1" applyBorder="1" applyAlignment="1">
      <alignment horizontal="center"/>
    </xf>
    <xf numFmtId="0" fontId="36" fillId="0" borderId="2" xfId="0" applyFont="1" applyBorder="1" applyAlignment="1">
      <alignment horizontal="center" vertical="center" wrapText="1"/>
    </xf>
    <xf numFmtId="44" fontId="4" fillId="42" borderId="2" xfId="0" applyNumberFormat="1" applyFont="1" applyFill="1" applyBorder="1" applyAlignment="1">
      <alignment horizontal="center" vertical="center"/>
    </xf>
    <xf numFmtId="44" fontId="42" fillId="0" borderId="79" xfId="31" applyFont="1" applyBorder="1"/>
    <xf numFmtId="44" fontId="42" fillId="0" borderId="55" xfId="31" applyFont="1" applyBorder="1"/>
    <xf numFmtId="0" fontId="41" fillId="0" borderId="52" xfId="0" applyFont="1" applyBorder="1"/>
    <xf numFmtId="44" fontId="48" fillId="42" borderId="7" xfId="0" applyNumberFormat="1" applyFont="1" applyFill="1" applyBorder="1" applyAlignment="1">
      <alignment horizontal="center" wrapText="1"/>
    </xf>
    <xf numFmtId="17" fontId="11" fillId="44" borderId="20" xfId="0" applyNumberFormat="1" applyFont="1" applyFill="1" applyBorder="1" applyAlignment="1">
      <alignment horizontal="center"/>
    </xf>
    <xf numFmtId="17" fontId="7" fillId="44" borderId="14" xfId="0" applyNumberFormat="1" applyFont="1" applyFill="1" applyBorder="1" applyAlignment="1">
      <alignment horizontal="center"/>
    </xf>
    <xf numFmtId="3" fontId="11" fillId="44" borderId="6" xfId="0" applyNumberFormat="1" applyFont="1" applyFill="1" applyBorder="1" applyAlignment="1">
      <alignment horizontal="center"/>
    </xf>
    <xf numFmtId="3" fontId="15" fillId="44" borderId="11" xfId="0" applyNumberFormat="1" applyFont="1" applyFill="1" applyBorder="1" applyAlignment="1">
      <alignment horizontal="center"/>
    </xf>
    <xf numFmtId="3" fontId="15" fillId="44" borderId="37" xfId="0" applyNumberFormat="1" applyFont="1" applyFill="1" applyBorder="1" applyAlignment="1">
      <alignment horizontal="center"/>
    </xf>
    <xf numFmtId="3" fontId="11" fillId="44" borderId="14" xfId="0" applyNumberFormat="1" applyFont="1" applyFill="1" applyBorder="1" applyAlignment="1">
      <alignment horizontal="center"/>
    </xf>
    <xf numFmtId="3" fontId="20" fillId="44" borderId="37" xfId="0" applyNumberFormat="1" applyFont="1" applyFill="1" applyBorder="1" applyAlignment="1">
      <alignment horizontal="center"/>
    </xf>
    <xf numFmtId="3" fontId="7" fillId="44" borderId="6" xfId="0" applyNumberFormat="1" applyFont="1" applyFill="1" applyBorder="1" applyAlignment="1">
      <alignment horizontal="center"/>
    </xf>
    <xf numFmtId="3" fontId="11" fillId="44" borderId="32" xfId="0" applyNumberFormat="1" applyFont="1" applyFill="1" applyBorder="1" applyAlignment="1">
      <alignment horizontal="center"/>
    </xf>
    <xf numFmtId="3" fontId="20" fillId="44" borderId="11" xfId="0" applyNumberFormat="1" applyFont="1" applyFill="1" applyBorder="1" applyAlignment="1">
      <alignment horizontal="center"/>
    </xf>
    <xf numFmtId="3" fontId="11" fillId="44" borderId="11" xfId="0" applyNumberFormat="1" applyFont="1" applyFill="1" applyBorder="1" applyAlignment="1">
      <alignment horizontal="center"/>
    </xf>
    <xf numFmtId="17" fontId="10" fillId="45" borderId="22" xfId="0" applyNumberFormat="1" applyFont="1" applyFill="1" applyBorder="1" applyAlignment="1">
      <alignment horizontal="left"/>
    </xf>
    <xf numFmtId="49" fontId="8" fillId="45" borderId="12" xfId="0" applyNumberFormat="1" applyFont="1" applyFill="1" applyBorder="1" applyAlignment="1">
      <alignment horizontal="center"/>
    </xf>
    <xf numFmtId="3" fontId="8" fillId="45" borderId="3" xfId="0" applyNumberFormat="1" applyFont="1" applyFill="1" applyBorder="1" applyAlignment="1">
      <alignment horizontal="center"/>
    </xf>
    <xf numFmtId="3" fontId="16" fillId="45" borderId="29" xfId="0" applyNumberFormat="1" applyFont="1" applyFill="1" applyBorder="1" applyAlignment="1">
      <alignment horizontal="center"/>
    </xf>
    <xf numFmtId="3" fontId="15" fillId="45" borderId="37" xfId="0" applyNumberFormat="1" applyFont="1" applyFill="1" applyBorder="1" applyAlignment="1">
      <alignment horizontal="center"/>
    </xf>
    <xf numFmtId="3" fontId="10" fillId="45" borderId="3" xfId="0" applyNumberFormat="1" applyFont="1" applyFill="1" applyBorder="1" applyAlignment="1">
      <alignment horizontal="center"/>
    </xf>
    <xf numFmtId="3" fontId="10" fillId="45" borderId="4" xfId="0" applyNumberFormat="1" applyFont="1" applyFill="1" applyBorder="1" applyAlignment="1">
      <alignment horizontal="center"/>
    </xf>
    <xf numFmtId="3" fontId="15" fillId="45" borderId="29" xfId="0" applyNumberFormat="1" applyFont="1" applyFill="1" applyBorder="1" applyAlignment="1">
      <alignment horizontal="center"/>
    </xf>
    <xf numFmtId="3" fontId="10" fillId="45" borderId="29" xfId="0" applyNumberFormat="1" applyFont="1" applyFill="1" applyBorder="1" applyAlignment="1">
      <alignment horizontal="center"/>
    </xf>
    <xf numFmtId="3" fontId="11" fillId="45" borderId="29" xfId="0" applyNumberFormat="1" applyFont="1" applyFill="1" applyBorder="1" applyAlignment="1">
      <alignment horizontal="center"/>
    </xf>
    <xf numFmtId="3" fontId="11" fillId="45" borderId="11" xfId="0" applyNumberFormat="1" applyFont="1" applyFill="1" applyBorder="1" applyAlignment="1">
      <alignment horizontal="center"/>
    </xf>
    <xf numFmtId="0" fontId="73" fillId="45" borderId="11" xfId="0" applyFont="1" applyFill="1" applyBorder="1"/>
    <xf numFmtId="0" fontId="5" fillId="0" borderId="0" xfId="0" applyFont="1" applyAlignment="1">
      <alignment horizontal="right"/>
    </xf>
    <xf numFmtId="2" fontId="0" fillId="0" borderId="1" xfId="0" applyNumberFormat="1" applyBorder="1" applyAlignment="1">
      <alignment horizontal="center"/>
    </xf>
    <xf numFmtId="0" fontId="0" fillId="0" borderId="54" xfId="0" applyBorder="1"/>
    <xf numFmtId="17" fontId="41" fillId="0" borderId="85" xfId="0" applyNumberFormat="1" applyFont="1" applyBorder="1" applyAlignment="1">
      <alignment horizontal="center" vertical="center"/>
    </xf>
    <xf numFmtId="4" fontId="42" fillId="0" borderId="71" xfId="0" applyNumberFormat="1" applyFont="1" applyBorder="1"/>
    <xf numFmtId="1" fontId="42" fillId="0" borderId="71" xfId="0" applyNumberFormat="1" applyFont="1" applyBorder="1" applyAlignment="1">
      <alignment horizontal="center"/>
    </xf>
    <xf numFmtId="3" fontId="42" fillId="0" borderId="71" xfId="0" applyNumberFormat="1" applyFont="1" applyBorder="1" applyAlignment="1">
      <alignment horizontal="center" wrapText="1"/>
    </xf>
    <xf numFmtId="3" fontId="41" fillId="0" borderId="38" xfId="0" applyNumberFormat="1" applyFont="1" applyBorder="1" applyAlignment="1">
      <alignment horizontal="center"/>
    </xf>
    <xf numFmtId="0" fontId="41" fillId="45" borderId="20" xfId="0" applyFont="1" applyFill="1" applyBorder="1"/>
    <xf numFmtId="3" fontId="41" fillId="45" borderId="6" xfId="0" applyNumberFormat="1" applyFont="1" applyFill="1" applyBorder="1" applyAlignment="1">
      <alignment horizontal="center"/>
    </xf>
    <xf numFmtId="3" fontId="41" fillId="45" borderId="11" xfId="0" applyNumberFormat="1" applyFont="1" applyFill="1" applyBorder="1" applyAlignment="1">
      <alignment horizontal="center"/>
    </xf>
    <xf numFmtId="3" fontId="41" fillId="45" borderId="36" xfId="0" applyNumberFormat="1" applyFont="1" applyFill="1" applyBorder="1" applyAlignment="1">
      <alignment horizontal="center"/>
    </xf>
    <xf numFmtId="0" fontId="42" fillId="0" borderId="47" xfId="0" applyFont="1" applyBorder="1"/>
    <xf numFmtId="37" fontId="42" fillId="0" borderId="1" xfId="0" applyNumberFormat="1" applyFont="1" applyBorder="1" applyAlignment="1">
      <alignment horizontal="right"/>
    </xf>
    <xf numFmtId="166" fontId="42" fillId="0" borderId="1" xfId="0" applyNumberFormat="1" applyFont="1" applyBorder="1" applyAlignment="1">
      <alignment horizontal="center"/>
    </xf>
    <xf numFmtId="41" fontId="41" fillId="43" borderId="12" xfId="0" applyNumberFormat="1" applyFont="1" applyFill="1" applyBorder="1" applyAlignment="1">
      <alignment horizontal="center"/>
    </xf>
    <xf numFmtId="0" fontId="10" fillId="0" borderId="29" xfId="0" applyFont="1" applyBorder="1" applyAlignment="1">
      <alignment horizontal="center"/>
    </xf>
    <xf numFmtId="0" fontId="4" fillId="0" borderId="0" xfId="0" applyFont="1"/>
    <xf numFmtId="0" fontId="4" fillId="0" borderId="0" xfId="0" applyFont="1" applyAlignment="1">
      <alignment horizontal="center"/>
    </xf>
    <xf numFmtId="0" fontId="4" fillId="49" borderId="1" xfId="0" applyFont="1" applyFill="1" applyBorder="1" applyAlignment="1">
      <alignment horizontal="center"/>
    </xf>
    <xf numFmtId="0" fontId="4" fillId="49" borderId="0" xfId="0" applyFont="1" applyFill="1" applyAlignment="1">
      <alignment horizontal="center"/>
    </xf>
    <xf numFmtId="0" fontId="0" fillId="48" borderId="1" xfId="0" applyFill="1" applyBorder="1" applyAlignment="1">
      <alignment horizontal="center"/>
    </xf>
    <xf numFmtId="0" fontId="5" fillId="48" borderId="1" xfId="0" applyFont="1" applyFill="1" applyBorder="1" applyAlignment="1">
      <alignment horizontal="center"/>
    </xf>
    <xf numFmtId="0" fontId="4" fillId="0" borderId="1" xfId="0" applyFont="1" applyBorder="1" applyAlignment="1">
      <alignment horizontal="center"/>
    </xf>
    <xf numFmtId="2" fontId="5" fillId="0" borderId="1" xfId="0" applyNumberFormat="1" applyFont="1" applyBorder="1" applyAlignment="1">
      <alignment horizontal="center"/>
    </xf>
    <xf numFmtId="3" fontId="4" fillId="49" borderId="0" xfId="0" applyNumberFormat="1" applyFont="1" applyFill="1" applyAlignment="1">
      <alignment horizontal="center"/>
    </xf>
    <xf numFmtId="0" fontId="4" fillId="3" borderId="1" xfId="0" applyFont="1" applyFill="1" applyBorder="1" applyAlignment="1">
      <alignment horizontal="center"/>
    </xf>
    <xf numFmtId="0" fontId="0" fillId="0" borderId="1" xfId="0" applyBorder="1" applyAlignment="1">
      <alignment horizontal="center" vertical="center"/>
    </xf>
    <xf numFmtId="4" fontId="4" fillId="3" borderId="0" xfId="0" applyNumberFormat="1" applyFont="1" applyFill="1" applyAlignment="1">
      <alignment horizontal="center"/>
    </xf>
    <xf numFmtId="164" fontId="27" fillId="0" borderId="1" xfId="0" applyNumberFormat="1" applyFont="1" applyBorder="1" applyAlignment="1">
      <alignment horizontal="center"/>
    </xf>
    <xf numFmtId="164" fontId="39" fillId="0" borderId="1" xfId="0" applyNumberFormat="1" applyFont="1" applyBorder="1" applyAlignment="1">
      <alignment horizontal="center"/>
    </xf>
    <xf numFmtId="44" fontId="44" fillId="43" borderId="1" xfId="31" applyFont="1" applyFill="1" applyBorder="1" applyAlignment="1">
      <alignment horizontal="center"/>
    </xf>
    <xf numFmtId="44" fontId="45" fillId="0" borderId="0" xfId="0" applyNumberFormat="1" applyFont="1"/>
    <xf numFmtId="44" fontId="54" fillId="43" borderId="41" xfId="31" applyFont="1" applyFill="1" applyBorder="1" applyAlignment="1">
      <alignment horizontal="right"/>
    </xf>
    <xf numFmtId="0" fontId="5" fillId="0" borderId="0" xfId="0" applyFont="1"/>
    <xf numFmtId="0" fontId="5" fillId="0" borderId="2" xfId="0" applyFont="1" applyBorder="1" applyAlignment="1">
      <alignment horizontal="center" vertical="center"/>
    </xf>
    <xf numFmtId="44" fontId="5" fillId="0" borderId="2" xfId="3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horizontal="center"/>
    </xf>
    <xf numFmtId="0" fontId="5" fillId="0" borderId="3" xfId="0" applyFont="1" applyBorder="1"/>
    <xf numFmtId="8" fontId="5" fillId="0" borderId="19" xfId="0" applyNumberFormat="1" applyFont="1" applyBorder="1"/>
    <xf numFmtId="44" fontId="5" fillId="0" borderId="64" xfId="31" applyBorder="1" applyAlignment="1">
      <alignment horizontal="right"/>
    </xf>
    <xf numFmtId="44" fontId="5" fillId="0" borderId="3" xfId="31" applyBorder="1" applyAlignment="1">
      <alignment horizontal="right"/>
    </xf>
    <xf numFmtId="8" fontId="5" fillId="0" borderId="13" xfId="0" applyNumberFormat="1" applyFont="1" applyBorder="1"/>
    <xf numFmtId="44" fontId="5" fillId="0" borderId="1" xfId="31" applyBorder="1" applyAlignment="1">
      <alignment horizontal="right"/>
    </xf>
    <xf numFmtId="0" fontId="5" fillId="0" borderId="5" xfId="0" applyFont="1" applyBorder="1"/>
    <xf numFmtId="44" fontId="5" fillId="0" borderId="0" xfId="0" applyNumberFormat="1" applyFont="1"/>
    <xf numFmtId="8" fontId="5" fillId="0" borderId="57" xfId="0" applyNumberFormat="1" applyFont="1" applyBorder="1"/>
    <xf numFmtId="0" fontId="5" fillId="0" borderId="57" xfId="0" applyFont="1" applyBorder="1"/>
    <xf numFmtId="0" fontId="5" fillId="0" borderId="8" xfId="0" applyFont="1" applyBorder="1"/>
    <xf numFmtId="0" fontId="5" fillId="0" borderId="9" xfId="0" applyFont="1" applyBorder="1"/>
    <xf numFmtId="0" fontId="5" fillId="0" borderId="65" xfId="0" applyFont="1" applyBorder="1"/>
    <xf numFmtId="44" fontId="5" fillId="0" borderId="8" xfId="31" applyBorder="1" applyAlignment="1">
      <alignment horizontal="right"/>
    </xf>
    <xf numFmtId="0" fontId="5" fillId="0" borderId="33" xfId="0" applyFont="1" applyBorder="1"/>
    <xf numFmtId="8" fontId="5" fillId="0" borderId="34" xfId="0" applyNumberFormat="1" applyFont="1" applyBorder="1"/>
    <xf numFmtId="8" fontId="5" fillId="0" borderId="15" xfId="0" applyNumberFormat="1" applyFont="1" applyBorder="1"/>
    <xf numFmtId="44" fontId="5" fillId="0" borderId="16" xfId="31" applyBorder="1" applyAlignment="1">
      <alignment horizontal="right"/>
    </xf>
    <xf numFmtId="44" fontId="5" fillId="0" borderId="33" xfId="31" applyBorder="1" applyAlignment="1">
      <alignment horizontal="right"/>
    </xf>
    <xf numFmtId="44" fontId="5" fillId="0" borderId="1" xfId="0" applyNumberFormat="1" applyFont="1" applyBorder="1"/>
    <xf numFmtId="0" fontId="5" fillId="0" borderId="1" xfId="0" applyFont="1" applyBorder="1" applyAlignment="1">
      <alignment horizontal="right"/>
    </xf>
    <xf numFmtId="44" fontId="5" fillId="0" borderId="15" xfId="31" applyBorder="1" applyAlignment="1">
      <alignment horizontal="right"/>
    </xf>
    <xf numFmtId="0" fontId="5" fillId="0" borderId="48" xfId="0" applyFont="1" applyBorder="1"/>
    <xf numFmtId="44" fontId="5" fillId="0" borderId="13" xfId="31" applyBorder="1" applyAlignment="1">
      <alignment horizontal="right"/>
    </xf>
    <xf numFmtId="43" fontId="5" fillId="0" borderId="0" xfId="28"/>
    <xf numFmtId="43" fontId="5" fillId="0" borderId="1" xfId="28" applyBorder="1"/>
    <xf numFmtId="44" fontId="5" fillId="0" borderId="19" xfId="31" applyBorder="1" applyAlignment="1">
      <alignment horizontal="right"/>
    </xf>
    <xf numFmtId="44" fontId="5" fillId="0" borderId="61" xfId="31" applyBorder="1" applyAlignment="1">
      <alignment horizontal="right"/>
    </xf>
    <xf numFmtId="44" fontId="5" fillId="0" borderId="69" xfId="31" applyBorder="1" applyAlignment="1">
      <alignment horizontal="right"/>
    </xf>
    <xf numFmtId="8" fontId="5" fillId="0" borderId="0" xfId="0" applyNumberFormat="1" applyFont="1"/>
    <xf numFmtId="44" fontId="5" fillId="0" borderId="0" xfId="31" applyAlignment="1">
      <alignment horizontal="right"/>
    </xf>
    <xf numFmtId="0" fontId="100" fillId="0" borderId="0" xfId="0" applyFont="1"/>
    <xf numFmtId="44" fontId="5" fillId="0" borderId="0" xfId="31" applyAlignment="1">
      <alignment horizontal="center"/>
    </xf>
    <xf numFmtId="0" fontId="101" fillId="0" borderId="101" xfId="64" applyFont="1" applyBorder="1"/>
    <xf numFmtId="8" fontId="4" fillId="0" borderId="13" xfId="0" applyNumberFormat="1" applyFont="1" applyBorder="1"/>
    <xf numFmtId="0" fontId="98" fillId="0" borderId="101" xfId="63" applyBorder="1"/>
    <xf numFmtId="0" fontId="98" fillId="0" borderId="60" xfId="63" applyBorder="1" applyAlignment="1">
      <alignment horizontal="right"/>
    </xf>
    <xf numFmtId="44" fontId="4" fillId="0" borderId="1" xfId="31" applyFont="1" applyBorder="1" applyAlignment="1">
      <alignment horizontal="right"/>
    </xf>
    <xf numFmtId="8" fontId="4" fillId="0" borderId="57" xfId="0" applyNumberFormat="1" applyFont="1" applyBorder="1"/>
    <xf numFmtId="0" fontId="4" fillId="0" borderId="5" xfId="0" applyFont="1" applyBorder="1"/>
    <xf numFmtId="44" fontId="4" fillId="0" borderId="8" xfId="31" applyFont="1" applyBorder="1" applyAlignment="1">
      <alignment horizontal="right"/>
    </xf>
    <xf numFmtId="0" fontId="4" fillId="0" borderId="65" xfId="0" applyFont="1" applyBorder="1"/>
    <xf numFmtId="0" fontId="5" fillId="0" borderId="13" xfId="0" applyFont="1" applyBorder="1"/>
    <xf numFmtId="44" fontId="5" fillId="43" borderId="1" xfId="31" applyFill="1" applyBorder="1" applyAlignment="1">
      <alignment horizontal="center" vertical="center"/>
    </xf>
    <xf numFmtId="0" fontId="98" fillId="0" borderId="0" xfId="63" applyAlignment="1">
      <alignment horizontal="right"/>
    </xf>
    <xf numFmtId="0" fontId="103" fillId="0" borderId="101" xfId="63" applyFont="1" applyBorder="1"/>
    <xf numFmtId="44" fontId="6" fillId="0" borderId="1" xfId="31" applyFont="1" applyBorder="1" applyAlignment="1">
      <alignment horizontal="right"/>
    </xf>
    <xf numFmtId="44" fontId="6" fillId="0" borderId="0" xfId="0" applyNumberFormat="1" applyFont="1"/>
    <xf numFmtId="8" fontId="6" fillId="0" borderId="13" xfId="0" applyNumberFormat="1" applyFont="1" applyBorder="1"/>
    <xf numFmtId="0" fontId="25" fillId="0" borderId="2" xfId="0" applyFont="1" applyBorder="1" applyAlignment="1">
      <alignment horizontal="center" vertical="center"/>
    </xf>
    <xf numFmtId="44" fontId="25" fillId="0" borderId="2" xfId="31" applyFont="1" applyBorder="1" applyAlignment="1">
      <alignment horizontal="center" vertical="center" wrapText="1"/>
    </xf>
    <xf numFmtId="0" fontId="4" fillId="0" borderId="47" xfId="0" applyFont="1" applyBorder="1" applyAlignment="1">
      <alignment wrapText="1"/>
    </xf>
    <xf numFmtId="44" fontId="5" fillId="0" borderId="68" xfId="31" applyBorder="1" applyAlignment="1">
      <alignment horizontal="right"/>
    </xf>
    <xf numFmtId="44" fontId="5" fillId="0" borderId="47" xfId="31" applyBorder="1" applyAlignment="1">
      <alignment horizontal="right"/>
    </xf>
    <xf numFmtId="44" fontId="4" fillId="0" borderId="47" xfId="31" applyFont="1" applyBorder="1" applyAlignment="1">
      <alignment horizontal="right"/>
    </xf>
    <xf numFmtId="0" fontId="4" fillId="0" borderId="3" xfId="0" applyFont="1" applyBorder="1"/>
    <xf numFmtId="8" fontId="5" fillId="0" borderId="4" xfId="0" applyNumberFormat="1" applyFont="1" applyBorder="1"/>
    <xf numFmtId="8" fontId="5" fillId="0" borderId="12" xfId="0" applyNumberFormat="1" applyFont="1" applyBorder="1"/>
    <xf numFmtId="8" fontId="4" fillId="0" borderId="5" xfId="0" applyNumberFormat="1" applyFont="1" applyBorder="1"/>
    <xf numFmtId="0" fontId="4" fillId="0" borderId="9" xfId="0" applyFont="1" applyBorder="1"/>
    <xf numFmtId="0" fontId="4" fillId="0" borderId="33" xfId="0" applyFont="1" applyBorder="1"/>
    <xf numFmtId="0" fontId="5" fillId="0" borderId="34" xfId="0" applyFont="1" applyBorder="1" applyAlignment="1">
      <alignment horizontal="left" vertical="center" wrapText="1"/>
    </xf>
    <xf numFmtId="0" fontId="5" fillId="0" borderId="15" xfId="0" applyFont="1" applyBorder="1" applyAlignment="1">
      <alignment horizontal="left" vertical="center" wrapText="1"/>
    </xf>
    <xf numFmtId="44" fontId="4" fillId="43" borderId="48" xfId="31" applyFont="1" applyFill="1" applyBorder="1" applyAlignment="1">
      <alignment horizontal="right"/>
    </xf>
    <xf numFmtId="0" fontId="4" fillId="0" borderId="47" xfId="0" applyFont="1" applyBorder="1"/>
    <xf numFmtId="44" fontId="5" fillId="0" borderId="34" xfId="31" applyBorder="1" applyAlignment="1">
      <alignment horizontal="right"/>
    </xf>
    <xf numFmtId="0" fontId="4" fillId="0" borderId="3" xfId="0" applyFont="1" applyBorder="1" applyAlignment="1">
      <alignment wrapText="1"/>
    </xf>
    <xf numFmtId="44" fontId="5" fillId="0" borderId="12" xfId="31" applyBorder="1" applyAlignment="1">
      <alignment horizontal="right"/>
    </xf>
    <xf numFmtId="44" fontId="4" fillId="0" borderId="70" xfId="31" applyFont="1" applyBorder="1" applyAlignment="1">
      <alignment horizontal="right"/>
    </xf>
    <xf numFmtId="0" fontId="5" fillId="0" borderId="15" xfId="0" applyFont="1" applyBorder="1" applyAlignment="1">
      <alignment horizontal="left" vertical="center"/>
    </xf>
    <xf numFmtId="40" fontId="5" fillId="0" borderId="15" xfId="0" applyNumberFormat="1" applyFont="1" applyBorder="1" applyAlignment="1">
      <alignment horizontal="right" vertical="center" wrapText="1"/>
    </xf>
    <xf numFmtId="43" fontId="5" fillId="0" borderId="0" xfId="0" applyNumberFormat="1" applyFont="1"/>
    <xf numFmtId="0" fontId="4" fillId="0" borderId="70" xfId="0" applyFont="1" applyBorder="1"/>
    <xf numFmtId="44" fontId="5" fillId="0" borderId="70" xfId="31" applyBorder="1" applyAlignment="1">
      <alignment horizontal="right"/>
    </xf>
    <xf numFmtId="0" fontId="4" fillId="0" borderId="1" xfId="0" applyFont="1" applyBorder="1"/>
    <xf numFmtId="44" fontId="5" fillId="0" borderId="27" xfId="31" applyBorder="1" applyAlignment="1">
      <alignment horizontal="right"/>
    </xf>
    <xf numFmtId="0" fontId="4" fillId="0" borderId="70" xfId="0" applyFont="1" applyBorder="1" applyAlignment="1">
      <alignment horizontal="center" wrapText="1"/>
    </xf>
    <xf numFmtId="8" fontId="5" fillId="0" borderId="33" xfId="31" applyNumberFormat="1" applyBorder="1" applyAlignment="1">
      <alignment horizontal="right"/>
    </xf>
    <xf numFmtId="0" fontId="4" fillId="0" borderId="70" xfId="0" applyFont="1" applyBorder="1" applyAlignment="1">
      <alignment wrapText="1"/>
    </xf>
    <xf numFmtId="0" fontId="4" fillId="0" borderId="27" xfId="0" applyFont="1" applyBorder="1"/>
    <xf numFmtId="0" fontId="5" fillId="0" borderId="32" xfId="0" applyFont="1" applyBorder="1"/>
    <xf numFmtId="0" fontId="25" fillId="0" borderId="58" xfId="0" applyFont="1" applyBorder="1" applyAlignment="1">
      <alignment horizontal="center"/>
    </xf>
    <xf numFmtId="0" fontId="25" fillId="0" borderId="66" xfId="0" applyFont="1" applyBorder="1" applyAlignment="1">
      <alignment horizontal="center"/>
    </xf>
    <xf numFmtId="0" fontId="25" fillId="0" borderId="67" xfId="0" applyFont="1" applyBorder="1" applyAlignment="1">
      <alignment horizontal="center"/>
    </xf>
    <xf numFmtId="44" fontId="25" fillId="0" borderId="67" xfId="31" applyFont="1" applyBorder="1" applyAlignment="1">
      <alignment horizontal="right"/>
    </xf>
    <xf numFmtId="44" fontId="25" fillId="0" borderId="62" xfId="31" applyFont="1" applyBorder="1" applyAlignment="1">
      <alignment horizontal="right"/>
    </xf>
    <xf numFmtId="44" fontId="25" fillId="0" borderId="41" xfId="31" applyFont="1" applyBorder="1" applyAlignment="1">
      <alignment horizontal="center"/>
    </xf>
    <xf numFmtId="0" fontId="104" fillId="0" borderId="0" xfId="0" applyFont="1"/>
    <xf numFmtId="0" fontId="105" fillId="0" borderId="0" xfId="0" applyFont="1"/>
    <xf numFmtId="8" fontId="5" fillId="0" borderId="1" xfId="31" applyNumberFormat="1" applyBorder="1" applyAlignment="1">
      <alignment horizontal="right"/>
    </xf>
    <xf numFmtId="44" fontId="102" fillId="0" borderId="8" xfId="31" applyFont="1" applyBorder="1" applyAlignment="1">
      <alignment horizontal="right"/>
    </xf>
    <xf numFmtId="8" fontId="5" fillId="0" borderId="65" xfId="0" applyNumberFormat="1" applyFont="1" applyBorder="1"/>
    <xf numFmtId="8" fontId="4" fillId="0" borderId="65" xfId="0" applyNumberFormat="1" applyFont="1" applyBorder="1"/>
    <xf numFmtId="44" fontId="4" fillId="43" borderId="1" xfId="31" applyFont="1" applyFill="1" applyBorder="1" applyAlignment="1">
      <alignment horizontal="center" vertical="center"/>
    </xf>
    <xf numFmtId="44" fontId="4" fillId="43" borderId="33" xfId="31" applyFont="1" applyFill="1" applyBorder="1" applyAlignment="1">
      <alignment horizontal="right"/>
    </xf>
    <xf numFmtId="44" fontId="5" fillId="0" borderId="73" xfId="0" applyNumberFormat="1" applyFont="1" applyBorder="1"/>
    <xf numFmtId="44" fontId="5" fillId="0" borderId="0" xfId="31"/>
    <xf numFmtId="8" fontId="106" fillId="0" borderId="0" xfId="0" applyNumberFormat="1" applyFont="1"/>
    <xf numFmtId="0" fontId="106" fillId="0" borderId="0" xfId="0" applyFont="1"/>
    <xf numFmtId="170" fontId="42" fillId="0" borderId="12" xfId="0" applyNumberFormat="1" applyFont="1" applyBorder="1"/>
    <xf numFmtId="170" fontId="51" fillId="43" borderId="0" xfId="0" applyNumberFormat="1" applyFont="1" applyFill="1"/>
    <xf numFmtId="171" fontId="55" fillId="43" borderId="2" xfId="0" applyNumberFormat="1" applyFont="1" applyFill="1" applyBorder="1" applyAlignment="1">
      <alignment horizontal="right"/>
    </xf>
    <xf numFmtId="170" fontId="55" fillId="43" borderId="2" xfId="0" applyNumberFormat="1" applyFont="1" applyFill="1" applyBorder="1" applyAlignment="1">
      <alignment horizontal="right"/>
    </xf>
    <xf numFmtId="0" fontId="47" fillId="0" borderId="0" xfId="0" applyFont="1" applyAlignment="1">
      <alignment horizontal="center"/>
    </xf>
    <xf numFmtId="44" fontId="40" fillId="0" borderId="0" xfId="0" applyNumberFormat="1" applyFont="1" applyAlignment="1">
      <alignment horizontal="center"/>
    </xf>
    <xf numFmtId="0" fontId="55" fillId="0" borderId="0" xfId="0" applyFont="1" applyAlignment="1">
      <alignment horizontal="center"/>
    </xf>
    <xf numFmtId="44" fontId="51" fillId="43" borderId="2" xfId="0" applyNumberFormat="1" applyFont="1" applyFill="1" applyBorder="1" applyAlignment="1">
      <alignment horizontal="center"/>
    </xf>
    <xf numFmtId="0" fontId="36" fillId="0" borderId="1" xfId="0" applyFont="1" applyBorder="1" applyAlignment="1">
      <alignment horizontal="center"/>
    </xf>
    <xf numFmtId="40" fontId="47" fillId="0" borderId="0" xfId="0" applyNumberFormat="1" applyFont="1"/>
    <xf numFmtId="0" fontId="47" fillId="0" borderId="52" xfId="0" applyFont="1" applyBorder="1"/>
    <xf numFmtId="0" fontId="58" fillId="0" borderId="0" xfId="0" applyFont="1" applyAlignment="1">
      <alignment horizontal="left" vertical="center"/>
    </xf>
    <xf numFmtId="44" fontId="59" fillId="0" borderId="0" xfId="0" applyNumberFormat="1" applyFont="1" applyAlignment="1">
      <alignment horizontal="center" vertical="center"/>
    </xf>
    <xf numFmtId="0" fontId="59" fillId="0" borderId="0" xfId="0" applyFont="1" applyAlignment="1">
      <alignment vertical="center"/>
    </xf>
    <xf numFmtId="0" fontId="47" fillId="0" borderId="0" xfId="0" applyFont="1" applyAlignment="1">
      <alignment horizontal="left" vertical="center"/>
    </xf>
    <xf numFmtId="44" fontId="58" fillId="0" borderId="0" xfId="31" applyFont="1" applyAlignment="1">
      <alignment horizontal="right" vertical="center"/>
    </xf>
    <xf numFmtId="44" fontId="58" fillId="43" borderId="41" xfId="31" applyFont="1" applyFill="1" applyBorder="1" applyAlignment="1">
      <alignment horizontal="right" vertical="center"/>
    </xf>
    <xf numFmtId="0" fontId="47" fillId="0" borderId="57" xfId="0" applyFont="1" applyBorder="1"/>
    <xf numFmtId="0" fontId="47" fillId="0" borderId="13" xfId="0" applyFont="1" applyBorder="1"/>
    <xf numFmtId="0" fontId="36" fillId="0" borderId="76" xfId="0" applyFont="1" applyBorder="1"/>
    <xf numFmtId="0" fontId="6" fillId="0" borderId="78" xfId="0" applyFont="1" applyBorder="1"/>
    <xf numFmtId="167" fontId="36" fillId="6" borderId="50" xfId="0" applyNumberFormat="1" applyFont="1" applyFill="1" applyBorder="1" applyAlignment="1">
      <alignment horizontal="right"/>
    </xf>
    <xf numFmtId="0" fontId="47" fillId="6" borderId="0" xfId="0" applyFont="1" applyFill="1"/>
    <xf numFmtId="10" fontId="47" fillId="0" borderId="3" xfId="0" applyNumberFormat="1" applyFont="1" applyBorder="1" applyAlignment="1">
      <alignment horizontal="center" wrapText="1"/>
    </xf>
    <xf numFmtId="0" fontId="40" fillId="0" borderId="54" xfId="0" applyFont="1" applyBorder="1"/>
    <xf numFmtId="0" fontId="25" fillId="0" borderId="0" xfId="44" applyFont="1"/>
    <xf numFmtId="166" fontId="25" fillId="0" borderId="0" xfId="28" applyNumberFormat="1" applyFont="1"/>
    <xf numFmtId="0" fontId="108" fillId="0" borderId="0" xfId="0" applyFont="1" applyAlignment="1">
      <alignment horizontal="right"/>
    </xf>
    <xf numFmtId="8" fontId="63" fillId="0" borderId="0" xfId="0" applyNumberFormat="1" applyFont="1" applyAlignment="1">
      <alignment horizontal="center"/>
    </xf>
    <xf numFmtId="42" fontId="63" fillId="0" borderId="0" xfId="0" applyNumberFormat="1" applyFont="1"/>
    <xf numFmtId="42" fontId="51" fillId="47" borderId="2" xfId="0" applyNumberFormat="1" applyFont="1" applyFill="1" applyBorder="1" applyAlignment="1">
      <alignment horizontal="center"/>
    </xf>
    <xf numFmtId="42" fontId="51" fillId="47" borderId="2" xfId="0" applyNumberFormat="1" applyFont="1" applyFill="1" applyBorder="1"/>
    <xf numFmtId="17" fontId="10" fillId="47" borderId="22" xfId="0" applyNumberFormat="1" applyFont="1" applyFill="1" applyBorder="1" applyAlignment="1">
      <alignment horizontal="left"/>
    </xf>
    <xf numFmtId="49" fontId="8" fillId="47" borderId="12" xfId="0" applyNumberFormat="1" applyFont="1" applyFill="1" applyBorder="1" applyAlignment="1">
      <alignment horizontal="center"/>
    </xf>
    <xf numFmtId="3" fontId="8" fillId="47" borderId="3" xfId="0" applyNumberFormat="1" applyFont="1" applyFill="1" applyBorder="1" applyAlignment="1">
      <alignment horizontal="center"/>
    </xf>
    <xf numFmtId="3" fontId="16" fillId="47" borderId="29" xfId="0" applyNumberFormat="1" applyFont="1" applyFill="1" applyBorder="1" applyAlignment="1">
      <alignment horizontal="center"/>
    </xf>
    <xf numFmtId="3" fontId="15" fillId="47" borderId="37" xfId="0" applyNumberFormat="1" applyFont="1" applyFill="1" applyBorder="1" applyAlignment="1">
      <alignment horizontal="center"/>
    </xf>
    <xf numFmtId="3" fontId="10" fillId="47" borderId="3" xfId="0" applyNumberFormat="1" applyFont="1" applyFill="1" applyBorder="1" applyAlignment="1">
      <alignment horizontal="center"/>
    </xf>
    <xf numFmtId="3" fontId="10" fillId="47" borderId="4" xfId="0" applyNumberFormat="1" applyFont="1" applyFill="1" applyBorder="1" applyAlignment="1">
      <alignment horizontal="center"/>
    </xf>
    <xf numFmtId="3" fontId="15" fillId="47" borderId="29" xfId="0" applyNumberFormat="1" applyFont="1" applyFill="1" applyBorder="1" applyAlignment="1">
      <alignment horizontal="center"/>
    </xf>
    <xf numFmtId="3" fontId="10" fillId="47" borderId="29" xfId="0" applyNumberFormat="1" applyFont="1" applyFill="1" applyBorder="1" applyAlignment="1">
      <alignment horizontal="center"/>
    </xf>
    <xf numFmtId="3" fontId="11" fillId="47" borderId="29" xfId="0" applyNumberFormat="1" applyFont="1" applyFill="1" applyBorder="1" applyAlignment="1">
      <alignment horizontal="center"/>
    </xf>
    <xf numFmtId="0" fontId="73" fillId="47" borderId="11" xfId="0" applyFont="1" applyFill="1" applyBorder="1"/>
    <xf numFmtId="17" fontId="41" fillId="0" borderId="102" xfId="0" applyNumberFormat="1" applyFont="1" applyBorder="1" applyAlignment="1">
      <alignment horizontal="center" vertical="center"/>
    </xf>
    <xf numFmtId="3" fontId="41" fillId="43" borderId="39" xfId="0" applyNumberFormat="1" applyFont="1" applyFill="1" applyBorder="1" applyAlignment="1">
      <alignment horizontal="center"/>
    </xf>
    <xf numFmtId="3" fontId="42" fillId="0" borderId="30" xfId="0" applyNumberFormat="1" applyFont="1" applyBorder="1" applyAlignment="1">
      <alignment horizontal="center"/>
    </xf>
    <xf numFmtId="1" fontId="42" fillId="0" borderId="15" xfId="0" applyNumberFormat="1" applyFont="1" applyBorder="1" applyAlignment="1">
      <alignment horizontal="center"/>
    </xf>
    <xf numFmtId="3" fontId="42" fillId="0" borderId="35" xfId="0" applyNumberFormat="1" applyFont="1" applyBorder="1" applyAlignment="1">
      <alignment horizontal="center"/>
    </xf>
    <xf numFmtId="166" fontId="41" fillId="0" borderId="58" xfId="28" applyNumberFormat="1" applyFont="1" applyBorder="1" applyAlignment="1">
      <alignment horizontal="center"/>
    </xf>
    <xf numFmtId="0" fontId="41" fillId="47" borderId="2" xfId="0" applyFont="1" applyFill="1" applyBorder="1" applyAlignment="1">
      <alignment horizontal="center" vertical="center" wrapText="1"/>
    </xf>
    <xf numFmtId="44" fontId="42" fillId="47" borderId="5" xfId="0" applyNumberFormat="1" applyFont="1" applyFill="1" applyBorder="1" applyAlignment="1">
      <alignment horizontal="center"/>
    </xf>
    <xf numFmtId="44" fontId="41" fillId="47" borderId="41" xfId="0" applyNumberFormat="1" applyFont="1" applyFill="1" applyBorder="1" applyAlignment="1">
      <alignment horizontal="center"/>
    </xf>
    <xf numFmtId="43" fontId="0" fillId="0" borderId="0" xfId="28" applyFont="1"/>
    <xf numFmtId="0" fontId="2" fillId="0" borderId="0" xfId="79"/>
    <xf numFmtId="0" fontId="95" fillId="0" borderId="104" xfId="79" applyFont="1" applyBorder="1" applyAlignment="1">
      <alignment horizontal="center" vertical="top" wrapText="1"/>
    </xf>
    <xf numFmtId="0" fontId="95" fillId="0" borderId="106" xfId="79" applyFont="1" applyBorder="1" applyAlignment="1">
      <alignment horizontal="center" vertical="top" wrapText="1"/>
    </xf>
    <xf numFmtId="0" fontId="2" fillId="0" borderId="107" xfId="79" applyBorder="1" applyAlignment="1">
      <alignment vertical="top" wrapText="1"/>
    </xf>
    <xf numFmtId="1" fontId="2" fillId="0" borderId="103" xfId="79" applyNumberFormat="1" applyBorder="1" applyAlignment="1">
      <alignment vertical="top" wrapText="1"/>
    </xf>
    <xf numFmtId="1" fontId="2" fillId="0" borderId="108" xfId="79" applyNumberFormat="1" applyBorder="1" applyAlignment="1">
      <alignment vertical="top" wrapText="1"/>
    </xf>
    <xf numFmtId="0" fontId="95" fillId="0" borderId="105" xfId="79" applyFont="1" applyBorder="1" applyAlignment="1">
      <alignment horizontal="left" vertical="top" wrapText="1"/>
    </xf>
    <xf numFmtId="0" fontId="2" fillId="0" borderId="109" xfId="79" applyBorder="1" applyAlignment="1">
      <alignment vertical="top" wrapText="1"/>
    </xf>
    <xf numFmtId="1" fontId="2" fillId="0" borderId="110" xfId="79" applyNumberFormat="1" applyBorder="1" applyAlignment="1">
      <alignment vertical="top" wrapText="1"/>
    </xf>
    <xf numFmtId="1" fontId="2" fillId="0" borderId="111" xfId="79" applyNumberFormat="1" applyBorder="1" applyAlignment="1">
      <alignment vertical="top" wrapText="1"/>
    </xf>
    <xf numFmtId="0" fontId="2" fillId="0" borderId="112" xfId="79" applyBorder="1" applyAlignment="1">
      <alignment vertical="top" wrapText="1"/>
    </xf>
    <xf numFmtId="1" fontId="2" fillId="0" borderId="113" xfId="79" applyNumberFormat="1" applyBorder="1" applyAlignment="1">
      <alignment vertical="top" wrapText="1"/>
    </xf>
    <xf numFmtId="1" fontId="2" fillId="0" borderId="114" xfId="79" applyNumberFormat="1" applyBorder="1" applyAlignment="1">
      <alignment vertical="top" wrapText="1"/>
    </xf>
    <xf numFmtId="166" fontId="95" fillId="47" borderId="115" xfId="94" applyNumberFormat="1" applyFont="1" applyFill="1" applyBorder="1" applyAlignment="1">
      <alignment vertical="top" wrapText="1"/>
    </xf>
    <xf numFmtId="166" fontId="95" fillId="47" borderId="116" xfId="94" applyNumberFormat="1" applyFont="1" applyFill="1" applyBorder="1" applyAlignment="1">
      <alignment vertical="top" wrapText="1"/>
    </xf>
    <xf numFmtId="166" fontId="95" fillId="47" borderId="117" xfId="94" applyNumberFormat="1" applyFont="1" applyFill="1" applyBorder="1" applyAlignment="1">
      <alignment vertical="top" wrapText="1"/>
    </xf>
    <xf numFmtId="166" fontId="95" fillId="47" borderId="1" xfId="94" applyNumberFormat="1" applyFont="1" applyFill="1" applyBorder="1" applyAlignment="1">
      <alignment vertical="top" wrapText="1"/>
    </xf>
    <xf numFmtId="0" fontId="95" fillId="0" borderId="0" xfId="62" applyFont="1"/>
    <xf numFmtId="44" fontId="51" fillId="43" borderId="58" xfId="0" applyNumberFormat="1" applyFont="1" applyFill="1" applyBorder="1" applyAlignment="1">
      <alignment horizontal="right"/>
    </xf>
    <xf numFmtId="44" fontId="4" fillId="0" borderId="3" xfId="31" applyFont="1" applyBorder="1" applyAlignment="1">
      <alignment horizontal="right"/>
    </xf>
    <xf numFmtId="0" fontId="6" fillId="0" borderId="1" xfId="0" applyFont="1" applyBorder="1"/>
    <xf numFmtId="44" fontId="41" fillId="47" borderId="36" xfId="31" applyFont="1" applyFill="1" applyBorder="1"/>
    <xf numFmtId="44" fontId="55" fillId="47" borderId="86" xfId="31" applyFont="1" applyFill="1" applyBorder="1" applyAlignment="1">
      <alignment horizontal="right"/>
    </xf>
    <xf numFmtId="44" fontId="55" fillId="47" borderId="2" xfId="0" applyNumberFormat="1" applyFont="1" applyFill="1" applyBorder="1"/>
    <xf numFmtId="38" fontId="55" fillId="47" borderId="2" xfId="0" applyNumberFormat="1" applyFont="1" applyFill="1" applyBorder="1"/>
    <xf numFmtId="44" fontId="55" fillId="47" borderId="2" xfId="31" applyFont="1" applyFill="1" applyBorder="1"/>
    <xf numFmtId="44" fontId="55" fillId="47" borderId="46" xfId="31" applyFont="1" applyFill="1" applyBorder="1" applyAlignment="1">
      <alignment horizontal="right"/>
    </xf>
    <xf numFmtId="44" fontId="55" fillId="47" borderId="2" xfId="31" applyFont="1" applyFill="1" applyBorder="1" applyAlignment="1">
      <alignment horizontal="right"/>
    </xf>
    <xf numFmtId="4" fontId="5" fillId="0" borderId="12" xfId="95" applyNumberFormat="1" applyBorder="1"/>
    <xf numFmtId="4" fontId="5" fillId="0" borderId="13" xfId="95" applyNumberFormat="1" applyBorder="1"/>
    <xf numFmtId="44" fontId="5" fillId="0" borderId="13" xfId="95" applyNumberFormat="1" applyBorder="1"/>
    <xf numFmtId="4" fontId="5" fillId="0" borderId="46" xfId="95" applyNumberFormat="1" applyBorder="1"/>
    <xf numFmtId="3" fontId="5" fillId="0" borderId="1" xfId="95" applyNumberFormat="1" applyBorder="1"/>
    <xf numFmtId="3" fontId="5" fillId="0" borderId="2" xfId="95" applyNumberFormat="1" applyBorder="1"/>
    <xf numFmtId="3" fontId="40" fillId="0" borderId="3" xfId="95" applyNumberFormat="1" applyFont="1" applyBorder="1" applyAlignment="1">
      <alignment horizontal="right"/>
    </xf>
    <xf numFmtId="0" fontId="29" fillId="2" borderId="0" xfId="0" applyFont="1" applyFill="1"/>
    <xf numFmtId="0" fontId="29" fillId="2" borderId="0" xfId="0" applyFont="1" applyFill="1" applyAlignment="1">
      <alignment horizontal="right"/>
    </xf>
    <xf numFmtId="0" fontId="5" fillId="2" borderId="0" xfId="0" applyFont="1" applyFill="1" applyAlignment="1">
      <alignment wrapText="1"/>
    </xf>
    <xf numFmtId="0" fontId="30" fillId="2" borderId="0" xfId="0" applyFont="1" applyFill="1"/>
    <xf numFmtId="0" fontId="0" fillId="2" borderId="0" xfId="0" applyFill="1"/>
    <xf numFmtId="1" fontId="0" fillId="2" borderId="0" xfId="0" applyNumberFormat="1" applyFill="1"/>
    <xf numFmtId="10" fontId="0" fillId="2" borderId="0" xfId="0" applyNumberFormat="1" applyFill="1"/>
    <xf numFmtId="0" fontId="0" fillId="51" borderId="0" xfId="0" applyFill="1"/>
    <xf numFmtId="166" fontId="42" fillId="0" borderId="1" xfId="28" applyNumberFormat="1" applyFont="1" applyBorder="1" applyAlignment="1">
      <alignment horizontal="center"/>
    </xf>
    <xf numFmtId="44" fontId="41" fillId="0" borderId="118" xfId="31" applyFont="1" applyBorder="1"/>
    <xf numFmtId="3" fontId="11" fillId="50" borderId="29" xfId="0" applyNumberFormat="1" applyFont="1" applyFill="1" applyBorder="1" applyAlignment="1">
      <alignment horizontal="center"/>
    </xf>
    <xf numFmtId="3" fontId="10" fillId="50" borderId="29" xfId="0" applyNumberFormat="1" applyFont="1" applyFill="1" applyBorder="1" applyAlignment="1">
      <alignment horizontal="center"/>
    </xf>
    <xf numFmtId="0" fontId="4" fillId="42" borderId="2" xfId="0" applyFont="1" applyFill="1" applyBorder="1" applyAlignment="1">
      <alignment horizontal="center" vertical="center"/>
    </xf>
    <xf numFmtId="37" fontId="8" fillId="0" borderId="1" xfId="0" applyNumberFormat="1" applyFont="1" applyBorder="1" applyAlignment="1">
      <alignment horizontal="center"/>
    </xf>
    <xf numFmtId="0" fontId="8" fillId="0" borderId="13" xfId="0" quotePrefix="1" applyFont="1" applyBorder="1" applyAlignment="1">
      <alignment horizontal="center"/>
    </xf>
    <xf numFmtId="0" fontId="8" fillId="0" borderId="13" xfId="0" applyFont="1" applyBorder="1" applyAlignment="1">
      <alignment horizontal="center"/>
    </xf>
    <xf numFmtId="0" fontId="73" fillId="46" borderId="11" xfId="0" applyFont="1" applyFill="1" applyBorder="1"/>
    <xf numFmtId="17" fontId="10" fillId="46" borderId="22" xfId="0" applyNumberFormat="1" applyFont="1" applyFill="1" applyBorder="1" applyAlignment="1">
      <alignment horizontal="left"/>
    </xf>
    <xf numFmtId="0" fontId="8" fillId="46" borderId="12" xfId="0" quotePrefix="1" applyFont="1" applyFill="1" applyBorder="1" applyAlignment="1">
      <alignment horizontal="center"/>
    </xf>
    <xf numFmtId="49" fontId="8" fillId="46" borderId="12" xfId="0" applyNumberFormat="1" applyFont="1" applyFill="1" applyBorder="1" applyAlignment="1">
      <alignment horizontal="center"/>
    </xf>
    <xf numFmtId="3" fontId="8" fillId="46" borderId="3" xfId="0" applyNumberFormat="1" applyFont="1" applyFill="1" applyBorder="1" applyAlignment="1">
      <alignment horizontal="center"/>
    </xf>
    <xf numFmtId="3" fontId="16" fillId="46" borderId="29" xfId="0" applyNumberFormat="1" applyFont="1" applyFill="1" applyBorder="1" applyAlignment="1">
      <alignment horizontal="center"/>
    </xf>
    <xf numFmtId="3" fontId="15" fillId="46" borderId="37" xfId="0" applyNumberFormat="1" applyFont="1" applyFill="1" applyBorder="1" applyAlignment="1">
      <alignment horizontal="center"/>
    </xf>
    <xf numFmtId="3" fontId="10" fillId="46" borderId="3" xfId="0" applyNumberFormat="1" applyFont="1" applyFill="1" applyBorder="1" applyAlignment="1">
      <alignment horizontal="center"/>
    </xf>
    <xf numFmtId="3" fontId="10" fillId="46" borderId="4" xfId="0" applyNumberFormat="1" applyFont="1" applyFill="1" applyBorder="1" applyAlignment="1">
      <alignment horizontal="center"/>
    </xf>
    <xf numFmtId="3" fontId="15" fillId="46" borderId="29" xfId="0" applyNumberFormat="1" applyFont="1" applyFill="1" applyBorder="1" applyAlignment="1">
      <alignment horizontal="center"/>
    </xf>
    <xf numFmtId="3" fontId="10" fillId="46" borderId="29" xfId="0" applyNumberFormat="1" applyFont="1" applyFill="1" applyBorder="1" applyAlignment="1">
      <alignment horizontal="center"/>
    </xf>
    <xf numFmtId="3" fontId="11" fillId="46" borderId="29" xfId="0" applyNumberFormat="1" applyFont="1" applyFill="1" applyBorder="1" applyAlignment="1">
      <alignment horizontal="center"/>
    </xf>
    <xf numFmtId="17" fontId="43" fillId="0" borderId="69" xfId="0" applyNumberFormat="1" applyFont="1" applyBorder="1" applyAlignment="1">
      <alignment horizontal="left"/>
    </xf>
    <xf numFmtId="3" fontId="43" fillId="0" borderId="35" xfId="0" applyNumberFormat="1" applyFont="1" applyBorder="1" applyAlignment="1">
      <alignment horizontal="center"/>
    </xf>
    <xf numFmtId="3" fontId="44" fillId="0" borderId="76" xfId="0" applyNumberFormat="1" applyFont="1" applyBorder="1" applyAlignment="1">
      <alignment horizontal="center"/>
    </xf>
    <xf numFmtId="3" fontId="58" fillId="46" borderId="0" xfId="0" applyNumberFormat="1" applyFont="1" applyFill="1" applyAlignment="1">
      <alignment horizontal="center" vertical="center"/>
    </xf>
    <xf numFmtId="8" fontId="4" fillId="0" borderId="63" xfId="0" applyNumberFormat="1" applyFont="1" applyBorder="1"/>
    <xf numFmtId="0" fontId="98" fillId="0" borderId="60" xfId="63" applyBorder="1" applyAlignment="1">
      <alignment horizontal="left"/>
    </xf>
    <xf numFmtId="0" fontId="4" fillId="0" borderId="58" xfId="0" applyFont="1" applyBorder="1" applyAlignment="1">
      <alignment horizontal="center"/>
    </xf>
    <xf numFmtId="0" fontId="4" fillId="0" borderId="66" xfId="0" applyFont="1" applyBorder="1" applyAlignment="1">
      <alignment horizontal="center"/>
    </xf>
    <xf numFmtId="0" fontId="4" fillId="0" borderId="67" xfId="0" applyFont="1" applyBorder="1" applyAlignment="1">
      <alignment horizontal="center"/>
    </xf>
    <xf numFmtId="44" fontId="4" fillId="0" borderId="67" xfId="31" applyFont="1" applyBorder="1" applyAlignment="1">
      <alignment horizontal="right"/>
    </xf>
    <xf numFmtId="44" fontId="4" fillId="0" borderId="62" xfId="31" applyFont="1" applyBorder="1" applyAlignment="1">
      <alignment horizontal="right"/>
    </xf>
    <xf numFmtId="44" fontId="4" fillId="0" borderId="41" xfId="31" applyFont="1" applyBorder="1" applyAlignment="1">
      <alignment horizontal="center"/>
    </xf>
    <xf numFmtId="43" fontId="4" fillId="0" borderId="0" xfId="28" applyFont="1"/>
    <xf numFmtId="8" fontId="5" fillId="0" borderId="54" xfId="0" applyNumberFormat="1" applyFont="1" applyBorder="1"/>
    <xf numFmtId="8" fontId="4" fillId="0" borderId="0" xfId="28" applyNumberFormat="1" applyFont="1"/>
    <xf numFmtId="0" fontId="110" fillId="0" borderId="0" xfId="0" applyFont="1" applyAlignment="1">
      <alignment horizontal="right"/>
    </xf>
    <xf numFmtId="0" fontId="0" fillId="52" borderId="0" xfId="0" applyFill="1" applyAlignment="1">
      <alignment wrapText="1"/>
    </xf>
    <xf numFmtId="0" fontId="29" fillId="52" borderId="0" xfId="0" applyFont="1" applyFill="1"/>
    <xf numFmtId="0" fontId="29" fillId="52" borderId="0" xfId="0" applyFont="1" applyFill="1" applyAlignment="1">
      <alignment horizontal="right"/>
    </xf>
    <xf numFmtId="0" fontId="5" fillId="52" borderId="0" xfId="0" applyFont="1" applyFill="1" applyAlignment="1">
      <alignment wrapText="1"/>
    </xf>
    <xf numFmtId="0" fontId="30" fillId="52" borderId="0" xfId="0" applyFont="1" applyFill="1"/>
    <xf numFmtId="0" fontId="0" fillId="52" borderId="0" xfId="0" applyFill="1"/>
    <xf numFmtId="1" fontId="0" fillId="52" borderId="0" xfId="0" applyNumberFormat="1" applyFill="1"/>
    <xf numFmtId="10" fontId="0" fillId="52" borderId="0" xfId="0" applyNumberFormat="1" applyFill="1"/>
    <xf numFmtId="0" fontId="4" fillId="52" borderId="0" xfId="0" applyFont="1" applyFill="1"/>
    <xf numFmtId="1" fontId="4" fillId="52" borderId="0" xfId="0" applyNumberFormat="1" applyFont="1" applyFill="1"/>
    <xf numFmtId="10" fontId="4" fillId="52" borderId="0" xfId="0" applyNumberFormat="1" applyFont="1" applyFill="1"/>
    <xf numFmtId="0" fontId="0" fillId="0" borderId="119" xfId="0" applyBorder="1"/>
    <xf numFmtId="166" fontId="4" fillId="0" borderId="0" xfId="28" applyNumberFormat="1" applyFont="1"/>
    <xf numFmtId="0" fontId="97" fillId="0" borderId="0" xfId="0" applyFont="1" applyAlignment="1">
      <alignment horizontal="center" vertical="top" wrapText="1"/>
    </xf>
    <xf numFmtId="0" fontId="95" fillId="0" borderId="120" xfId="0" applyFont="1" applyBorder="1" applyAlignment="1">
      <alignment horizontal="center" vertical="top" wrapText="1"/>
    </xf>
    <xf numFmtId="0" fontId="95" fillId="0" borderId="121" xfId="0" applyFont="1" applyBorder="1" applyAlignment="1">
      <alignment horizontal="center" vertical="top" wrapText="1"/>
    </xf>
    <xf numFmtId="0" fontId="95" fillId="0" borderId="122" xfId="0" applyFont="1" applyBorder="1" applyAlignment="1">
      <alignment horizontal="center" vertical="top" wrapText="1"/>
    </xf>
    <xf numFmtId="0" fontId="95" fillId="0" borderId="0" xfId="0" applyFont="1" applyAlignment="1">
      <alignment horizontal="center" vertical="top" wrapText="1"/>
    </xf>
    <xf numFmtId="0" fontId="0" fillId="0" borderId="112" xfId="0" applyBorder="1" applyAlignment="1">
      <alignment vertical="top" wrapText="1"/>
    </xf>
    <xf numFmtId="1" fontId="0" fillId="0" borderId="113" xfId="0" applyNumberFormat="1" applyBorder="1" applyAlignment="1">
      <alignment vertical="top" wrapText="1"/>
    </xf>
    <xf numFmtId="1" fontId="0" fillId="0" borderId="114" xfId="0" applyNumberFormat="1" applyBorder="1" applyAlignment="1">
      <alignment vertical="top" wrapText="1"/>
    </xf>
    <xf numFmtId="1" fontId="0" fillId="0" borderId="0" xfId="0" applyNumberFormat="1" applyAlignment="1">
      <alignment vertical="top" wrapText="1"/>
    </xf>
    <xf numFmtId="0" fontId="0" fillId="0" borderId="107" xfId="0" applyBorder="1" applyAlignment="1">
      <alignment vertical="top" wrapText="1"/>
    </xf>
    <xf numFmtId="1" fontId="0" fillId="0" borderId="103" xfId="0" applyNumberFormat="1" applyBorder="1" applyAlignment="1">
      <alignment vertical="top" wrapText="1"/>
    </xf>
    <xf numFmtId="0" fontId="0" fillId="0" borderId="109" xfId="0" applyBorder="1" applyAlignment="1">
      <alignment vertical="top" wrapText="1"/>
    </xf>
    <xf numFmtId="1" fontId="0" fillId="0" borderId="110" xfId="0" applyNumberFormat="1" applyBorder="1" applyAlignment="1">
      <alignment vertical="top" wrapText="1"/>
    </xf>
    <xf numFmtId="1" fontId="0" fillId="0" borderId="123" xfId="0" applyNumberFormat="1" applyBorder="1" applyAlignment="1">
      <alignment vertical="top" wrapText="1"/>
    </xf>
    <xf numFmtId="0" fontId="95" fillId="53" borderId="120" xfId="0" applyFont="1" applyFill="1" applyBorder="1" applyAlignment="1">
      <alignment vertical="top" wrapText="1"/>
    </xf>
    <xf numFmtId="1" fontId="95" fillId="53" borderId="121" xfId="0" applyNumberFormat="1" applyFont="1" applyFill="1" applyBorder="1" applyAlignment="1">
      <alignment vertical="top" wrapText="1"/>
    </xf>
    <xf numFmtId="1" fontId="95" fillId="53" borderId="122" xfId="0" applyNumberFormat="1" applyFont="1" applyFill="1" applyBorder="1" applyAlignment="1">
      <alignment vertical="top" wrapText="1"/>
    </xf>
    <xf numFmtId="1" fontId="95" fillId="0" borderId="0" xfId="0" applyNumberFormat="1" applyFont="1" applyAlignment="1">
      <alignment vertical="top" wrapText="1"/>
    </xf>
    <xf numFmtId="166" fontId="95" fillId="47" borderId="1" xfId="28" applyNumberFormat="1" applyFont="1" applyFill="1" applyBorder="1" applyAlignment="1">
      <alignment vertical="top" wrapText="1"/>
    </xf>
    <xf numFmtId="0" fontId="4" fillId="50" borderId="0" xfId="0" applyFont="1" applyFill="1" applyAlignment="1">
      <alignment horizontal="center"/>
    </xf>
    <xf numFmtId="3" fontId="4" fillId="52" borderId="1" xfId="0" applyNumberFormat="1" applyFont="1" applyFill="1" applyBorder="1" applyAlignment="1">
      <alignment horizontal="center"/>
    </xf>
    <xf numFmtId="44" fontId="5" fillId="0" borderId="1" xfId="31" applyBorder="1"/>
    <xf numFmtId="0" fontId="40" fillId="0" borderId="13" xfId="0" applyFont="1" applyBorder="1" applyAlignment="1">
      <alignment horizontal="right"/>
    </xf>
    <xf numFmtId="44" fontId="9" fillId="0" borderId="0" xfId="31" applyFont="1"/>
    <xf numFmtId="0" fontId="40" fillId="0" borderId="124" xfId="0" applyFont="1" applyBorder="1"/>
    <xf numFmtId="0" fontId="40" fillId="0" borderId="65" xfId="0" applyFont="1" applyBorder="1"/>
    <xf numFmtId="0" fontId="40" fillId="0" borderId="8" xfId="0" applyFont="1" applyBorder="1" applyAlignment="1">
      <alignment horizontal="center"/>
    </xf>
    <xf numFmtId="40" fontId="60" fillId="0" borderId="8" xfId="0" applyNumberFormat="1" applyFont="1" applyBorder="1" applyAlignment="1">
      <alignment horizontal="right"/>
    </xf>
    <xf numFmtId="167" fontId="40" fillId="0" borderId="8" xfId="0" applyNumberFormat="1" applyFont="1" applyBorder="1" applyAlignment="1">
      <alignment horizontal="center"/>
    </xf>
    <xf numFmtId="42" fontId="40" fillId="0" borderId="81" xfId="0" applyNumberFormat="1" applyFont="1" applyBorder="1" applyAlignment="1">
      <alignment horizontal="center"/>
    </xf>
    <xf numFmtId="0" fontId="111" fillId="0" borderId="0" xfId="0" applyFont="1" applyAlignment="1">
      <alignment horizontal="left"/>
    </xf>
    <xf numFmtId="0" fontId="4" fillId="0" borderId="125" xfId="0" applyFont="1" applyBorder="1" applyAlignment="1">
      <alignment horizontal="center" vertical="center"/>
    </xf>
    <xf numFmtId="0" fontId="4" fillId="2" borderId="126" xfId="0" applyFont="1" applyFill="1" applyBorder="1" applyAlignment="1">
      <alignment horizontal="center" vertical="center"/>
    </xf>
    <xf numFmtId="3" fontId="40" fillId="0" borderId="1" xfId="95" applyNumberFormat="1" applyFont="1" applyBorder="1" applyAlignment="1">
      <alignment horizontal="right"/>
    </xf>
    <xf numFmtId="3" fontId="40" fillId="0" borderId="8" xfId="95" applyNumberFormat="1" applyFont="1" applyBorder="1" applyAlignment="1">
      <alignment horizontal="right"/>
    </xf>
    <xf numFmtId="3" fontId="40" fillId="0" borderId="125" xfId="0" applyNumberFormat="1" applyFont="1" applyBorder="1" applyAlignment="1">
      <alignment horizontal="right"/>
    </xf>
    <xf numFmtId="170" fontId="0" fillId="0" borderId="125" xfId="0" applyNumberFormat="1" applyBorder="1"/>
    <xf numFmtId="3" fontId="40" fillId="0" borderId="8" xfId="0" applyNumberFormat="1" applyFont="1" applyBorder="1" applyAlignment="1">
      <alignment horizontal="right"/>
    </xf>
    <xf numFmtId="0" fontId="51" fillId="0" borderId="73" xfId="0" applyFont="1" applyBorder="1" applyAlignment="1">
      <alignment horizontal="center" vertical="center"/>
    </xf>
    <xf numFmtId="0" fontId="51" fillId="0" borderId="16" xfId="0" applyFont="1" applyBorder="1" applyAlignment="1">
      <alignment horizontal="center" vertical="top"/>
    </xf>
    <xf numFmtId="0" fontId="41" fillId="0" borderId="85" xfId="0" applyFont="1" applyBorder="1" applyAlignment="1">
      <alignment horizontal="center"/>
    </xf>
    <xf numFmtId="0" fontId="41" fillId="0" borderId="71" xfId="0" applyFont="1" applyBorder="1" applyAlignment="1">
      <alignment horizontal="center"/>
    </xf>
    <xf numFmtId="0" fontId="41" fillId="0" borderId="38" xfId="0" applyFont="1" applyBorder="1" applyAlignment="1">
      <alignment horizontal="center"/>
    </xf>
    <xf numFmtId="0" fontId="45" fillId="0" borderId="50" xfId="0" applyFont="1" applyBorder="1" applyAlignment="1">
      <alignment horizontal="left" wrapText="1"/>
    </xf>
    <xf numFmtId="0" fontId="41" fillId="0" borderId="85" xfId="0" applyFont="1" applyBorder="1" applyAlignment="1">
      <alignment horizontal="center" vertical="center"/>
    </xf>
    <xf numFmtId="0" fontId="41" fillId="0" borderId="71" xfId="0" applyFont="1" applyBorder="1" applyAlignment="1">
      <alignment horizontal="center" vertical="center"/>
    </xf>
    <xf numFmtId="0" fontId="41" fillId="0" borderId="38" xfId="0" applyFont="1" applyBorder="1" applyAlignment="1">
      <alignment horizontal="center" vertical="center"/>
    </xf>
    <xf numFmtId="0" fontId="51" fillId="0" borderId="0" xfId="0" applyFont="1" applyAlignment="1">
      <alignment horizontal="center"/>
    </xf>
    <xf numFmtId="0" fontId="51" fillId="0" borderId="73" xfId="0" applyFont="1" applyBorder="1" applyAlignment="1">
      <alignment horizontal="center" vertical="top"/>
    </xf>
    <xf numFmtId="0" fontId="54" fillId="0" borderId="73" xfId="0" applyFont="1" applyBorder="1" applyAlignment="1">
      <alignment horizontal="center" vertical="center"/>
    </xf>
    <xf numFmtId="8" fontId="54" fillId="0" borderId="72" xfId="0" applyNumberFormat="1" applyFont="1" applyBorder="1" applyAlignment="1">
      <alignment horizontal="center"/>
    </xf>
    <xf numFmtId="8" fontId="54" fillId="0" borderId="67" xfId="0" applyNumberFormat="1" applyFont="1" applyBorder="1" applyAlignment="1">
      <alignment horizontal="center"/>
    </xf>
    <xf numFmtId="0" fontId="5" fillId="0" borderId="40" xfId="0" applyFont="1" applyBorder="1" applyAlignment="1">
      <alignment horizontal="center" vertical="center" wrapText="1"/>
    </xf>
    <xf numFmtId="0" fontId="5" fillId="0" borderId="46" xfId="0" applyFont="1" applyBorder="1" applyAlignment="1">
      <alignment horizontal="center" vertical="center" wrapText="1"/>
    </xf>
    <xf numFmtId="44" fontId="5" fillId="0" borderId="40" xfId="31" applyBorder="1" applyAlignment="1">
      <alignment horizontal="center" vertical="center" wrapText="1"/>
    </xf>
    <xf numFmtId="44" fontId="5" fillId="0" borderId="46" xfId="31" applyBorder="1" applyAlignment="1">
      <alignment horizontal="center" vertical="center" wrapText="1"/>
    </xf>
    <xf numFmtId="0" fontId="5" fillId="0" borderId="73" xfId="0" applyFont="1" applyBorder="1" applyAlignment="1">
      <alignment horizontal="center" vertical="center"/>
    </xf>
    <xf numFmtId="0" fontId="4" fillId="0" borderId="73" xfId="0" applyFont="1" applyBorder="1" applyAlignment="1">
      <alignment horizontal="center" vertical="center"/>
    </xf>
    <xf numFmtId="44" fontId="25" fillId="0" borderId="40" xfId="31" applyFont="1" applyBorder="1" applyAlignment="1">
      <alignment horizontal="center" vertical="center" wrapText="1"/>
    </xf>
    <xf numFmtId="44" fontId="25" fillId="0" borderId="46" xfId="31" applyFont="1" applyBorder="1" applyAlignment="1">
      <alignment horizontal="center" vertical="center" wrapText="1"/>
    </xf>
    <xf numFmtId="0" fontId="5" fillId="0" borderId="89" xfId="0" applyFont="1" applyBorder="1" applyAlignment="1">
      <alignment horizontal="left"/>
    </xf>
    <xf numFmtId="0" fontId="5" fillId="0" borderId="90" xfId="0" applyFont="1" applyBorder="1" applyAlignment="1">
      <alignment horizontal="left"/>
    </xf>
    <xf numFmtId="0" fontId="5" fillId="0" borderId="87" xfId="0" applyFont="1" applyBorder="1" applyAlignment="1">
      <alignment horizontal="left" vertical="center" wrapText="1"/>
    </xf>
    <xf numFmtId="0" fontId="5" fillId="0" borderId="88" xfId="0" applyFont="1" applyBorder="1" applyAlignment="1">
      <alignment horizontal="left" vertical="center" wrapText="1"/>
    </xf>
    <xf numFmtId="0" fontId="5" fillId="0" borderId="63" xfId="0" applyFont="1" applyBorder="1" applyAlignment="1">
      <alignment horizontal="left" vertical="center" wrapText="1"/>
    </xf>
    <xf numFmtId="0" fontId="5" fillId="0" borderId="19" xfId="0" applyFont="1" applyBorder="1" applyAlignment="1">
      <alignment horizontal="left" vertical="center" wrapText="1"/>
    </xf>
    <xf numFmtId="0" fontId="25" fillId="0" borderId="40" xfId="0" applyFont="1" applyBorder="1" applyAlignment="1">
      <alignment horizontal="center" vertical="center" wrapText="1"/>
    </xf>
    <xf numFmtId="0" fontId="25" fillId="0" borderId="46" xfId="0" applyFont="1" applyBorder="1" applyAlignment="1">
      <alignment horizontal="center" vertical="center" wrapText="1"/>
    </xf>
    <xf numFmtId="0" fontId="5" fillId="0" borderId="87" xfId="0" applyFont="1" applyBorder="1" applyAlignment="1">
      <alignment horizontal="left" wrapText="1"/>
    </xf>
    <xf numFmtId="0" fontId="5" fillId="0" borderId="88" xfId="0" applyFont="1" applyBorder="1" applyAlignment="1">
      <alignment horizontal="left" wrapText="1"/>
    </xf>
    <xf numFmtId="0" fontId="5" fillId="0" borderId="5" xfId="0" applyFont="1" applyBorder="1" applyAlignment="1">
      <alignment horizontal="left"/>
    </xf>
    <xf numFmtId="0" fontId="5" fillId="0" borderId="13" xfId="0" applyFont="1" applyBorder="1" applyAlignment="1">
      <alignment horizontal="left"/>
    </xf>
    <xf numFmtId="0" fontId="5" fillId="0" borderId="34" xfId="0" applyFont="1" applyBorder="1" applyAlignment="1">
      <alignment horizontal="left"/>
    </xf>
    <xf numFmtId="0" fontId="5" fillId="0" borderId="15" xfId="0" applyFont="1" applyBorder="1" applyAlignment="1">
      <alignment horizontal="left"/>
    </xf>
    <xf numFmtId="0" fontId="4" fillId="0" borderId="5" xfId="0" applyFont="1" applyBorder="1" applyAlignment="1">
      <alignment horizontal="left"/>
    </xf>
    <xf numFmtId="0" fontId="4" fillId="0" borderId="13" xfId="0" applyFont="1" applyBorder="1" applyAlignment="1">
      <alignment horizontal="left"/>
    </xf>
    <xf numFmtId="0" fontId="58" fillId="0" borderId="16" xfId="0" applyFont="1" applyBorder="1" applyAlignment="1">
      <alignment horizontal="center" vertical="center"/>
    </xf>
    <xf numFmtId="0" fontId="41" fillId="0" borderId="0" xfId="0" applyFont="1" applyAlignment="1">
      <alignment horizontal="center"/>
    </xf>
    <xf numFmtId="42" fontId="41" fillId="0" borderId="0" xfId="0" applyNumberFormat="1" applyFont="1" applyAlignment="1">
      <alignment horizontal="center"/>
    </xf>
    <xf numFmtId="0" fontId="41" fillId="0" borderId="73" xfId="0" applyFont="1" applyBorder="1" applyAlignment="1">
      <alignment horizontal="center"/>
    </xf>
    <xf numFmtId="0" fontId="41" fillId="0" borderId="0" xfId="0" applyFont="1" applyAlignment="1">
      <alignment horizontal="center" vertical="center"/>
    </xf>
    <xf numFmtId="0" fontId="44" fillId="0" borderId="73" xfId="0" applyFont="1" applyBorder="1" applyAlignment="1">
      <alignment horizontal="center" vertical="center"/>
    </xf>
    <xf numFmtId="0" fontId="51" fillId="0" borderId="16" xfId="0" applyFont="1" applyBorder="1" applyAlignment="1">
      <alignment horizontal="center" vertical="center"/>
    </xf>
    <xf numFmtId="0" fontId="47" fillId="0" borderId="57" xfId="0" applyFont="1" applyBorder="1" applyAlignment="1">
      <alignment horizontal="left"/>
    </xf>
    <xf numFmtId="0" fontId="47" fillId="0" borderId="13" xfId="0" applyFont="1" applyBorder="1" applyAlignment="1">
      <alignment horizontal="left"/>
    </xf>
    <xf numFmtId="0" fontId="36" fillId="0" borderId="83" xfId="0" applyFont="1" applyBorder="1" applyAlignment="1">
      <alignment horizontal="left"/>
    </xf>
    <xf numFmtId="0" fontId="55" fillId="0" borderId="67" xfId="0" applyFont="1" applyBorder="1" applyAlignment="1">
      <alignment horizontal="left"/>
    </xf>
    <xf numFmtId="0" fontId="62" fillId="0" borderId="6" xfId="0" applyFont="1" applyBorder="1" applyAlignment="1">
      <alignment horizontal="center" vertical="center" wrapText="1"/>
    </xf>
    <xf numFmtId="0" fontId="55" fillId="0" borderId="85" xfId="0" applyFont="1" applyBorder="1" applyAlignment="1">
      <alignment horizontal="center" vertical="center"/>
    </xf>
    <xf numFmtId="0" fontId="55" fillId="0" borderId="71" xfId="0" applyFont="1" applyBorder="1" applyAlignment="1">
      <alignment horizontal="center" vertical="center"/>
    </xf>
    <xf numFmtId="0" fontId="51" fillId="0" borderId="0" xfId="0" applyFont="1" applyAlignment="1">
      <alignment horizontal="center" vertical="center"/>
    </xf>
    <xf numFmtId="0" fontId="40" fillId="0" borderId="5" xfId="0" applyFont="1" applyBorder="1"/>
    <xf numFmtId="0" fontId="40" fillId="0" borderId="13" xfId="0" applyFont="1" applyBorder="1"/>
    <xf numFmtId="0" fontId="48" fillId="0" borderId="20" xfId="0" applyFont="1" applyBorder="1" applyAlignment="1">
      <alignment horizontal="center" vertical="center"/>
    </xf>
    <xf numFmtId="0" fontId="48" fillId="0" borderId="6" xfId="0" applyFont="1" applyBorder="1" applyAlignment="1">
      <alignment horizontal="center" vertical="center"/>
    </xf>
    <xf numFmtId="3" fontId="48" fillId="0" borderId="6" xfId="0" applyNumberFormat="1" applyFont="1" applyBorder="1" applyAlignment="1">
      <alignment horizontal="center" vertical="center"/>
    </xf>
    <xf numFmtId="0" fontId="54" fillId="0" borderId="40" xfId="0" applyFont="1" applyBorder="1" applyAlignment="1">
      <alignment horizontal="center" vertical="center"/>
    </xf>
    <xf numFmtId="0" fontId="54" fillId="0" borderId="46" xfId="0" applyFont="1" applyBorder="1" applyAlignment="1">
      <alignment horizontal="center" vertical="center"/>
    </xf>
    <xf numFmtId="0" fontId="41" fillId="0" borderId="91" xfId="0" applyFont="1" applyBorder="1" applyAlignment="1">
      <alignment horizontal="center" vertical="center"/>
    </xf>
    <xf numFmtId="0" fontId="41" fillId="0" borderId="25" xfId="0" applyFont="1" applyBorder="1" applyAlignment="1">
      <alignment horizontal="center" vertical="center"/>
    </xf>
    <xf numFmtId="0" fontId="41" fillId="0" borderId="26" xfId="0" applyFont="1" applyBorder="1" applyAlignment="1">
      <alignment horizontal="center" vertical="center"/>
    </xf>
    <xf numFmtId="17" fontId="41" fillId="0" borderId="7" xfId="0" applyNumberFormat="1" applyFont="1" applyBorder="1" applyAlignment="1">
      <alignment horizontal="center" vertical="center" wrapText="1"/>
    </xf>
    <xf numFmtId="17" fontId="41" fillId="0" borderId="39" xfId="0" applyNumberFormat="1" applyFont="1" applyBorder="1" applyAlignment="1">
      <alignment horizontal="center" vertical="center" wrapText="1"/>
    </xf>
    <xf numFmtId="0" fontId="41" fillId="0" borderId="7" xfId="0" applyFont="1" applyBorder="1" applyAlignment="1">
      <alignment horizontal="center" vertical="center" wrapText="1"/>
    </xf>
    <xf numFmtId="0" fontId="41" fillId="0" borderId="39" xfId="0" applyFont="1" applyBorder="1" applyAlignment="1">
      <alignment horizontal="center" vertical="center" wrapText="1"/>
    </xf>
    <xf numFmtId="0" fontId="97" fillId="0" borderId="0" xfId="79" applyFont="1" applyAlignment="1">
      <alignment horizontal="center" vertical="top" wrapText="1"/>
    </xf>
    <xf numFmtId="0" fontId="97" fillId="0" borderId="0" xfId="0" applyFont="1" applyAlignment="1">
      <alignment horizontal="center" vertical="top" wrapText="1"/>
    </xf>
    <xf numFmtId="17" fontId="19" fillId="0" borderId="7" xfId="0" applyNumberFormat="1" applyFont="1" applyBorder="1" applyAlignment="1">
      <alignment horizontal="center" wrapText="1"/>
    </xf>
    <xf numFmtId="17" fontId="19" fillId="0" borderId="39" xfId="0" applyNumberFormat="1" applyFont="1" applyBorder="1" applyAlignment="1">
      <alignment horizontal="center" wrapText="1"/>
    </xf>
    <xf numFmtId="17" fontId="14" fillId="0" borderId="7" xfId="0" applyNumberFormat="1" applyFont="1" applyBorder="1" applyAlignment="1">
      <alignment horizontal="center" wrapText="1"/>
    </xf>
    <xf numFmtId="17" fontId="14" fillId="0" borderId="39" xfId="0" applyNumberFormat="1" applyFont="1" applyBorder="1" applyAlignment="1">
      <alignment horizontal="center" wrapText="1"/>
    </xf>
    <xf numFmtId="0" fontId="14" fillId="0" borderId="7" xfId="0" applyFont="1" applyBorder="1" applyAlignment="1">
      <alignment horizontal="center" wrapText="1"/>
    </xf>
    <xf numFmtId="0" fontId="14" fillId="0" borderId="39" xfId="0" applyFont="1" applyBorder="1" applyAlignment="1">
      <alignment horizontal="center" wrapText="1"/>
    </xf>
    <xf numFmtId="0" fontId="11" fillId="0" borderId="18" xfId="0" applyFont="1" applyBorder="1" applyAlignment="1">
      <alignment horizontal="right"/>
    </xf>
    <xf numFmtId="0" fontId="11" fillId="0" borderId="16" xfId="0" applyFont="1" applyBorder="1" applyAlignment="1">
      <alignment horizontal="right"/>
    </xf>
    <xf numFmtId="17" fontId="18" fillId="0" borderId="7" xfId="0" applyNumberFormat="1" applyFont="1" applyBorder="1" applyAlignment="1">
      <alignment horizontal="center" wrapText="1"/>
    </xf>
    <xf numFmtId="17" fontId="18" fillId="0" borderId="39" xfId="0" applyNumberFormat="1" applyFont="1" applyBorder="1" applyAlignment="1">
      <alignment horizontal="center" wrapText="1"/>
    </xf>
    <xf numFmtId="17" fontId="79" fillId="0" borderId="7" xfId="0" applyNumberFormat="1" applyFont="1" applyBorder="1" applyAlignment="1">
      <alignment horizontal="center" wrapText="1"/>
    </xf>
    <xf numFmtId="17" fontId="79" fillId="0" borderId="39" xfId="0" applyNumberFormat="1" applyFont="1" applyBorder="1" applyAlignment="1">
      <alignment horizontal="center" wrapText="1"/>
    </xf>
    <xf numFmtId="17" fontId="22" fillId="0" borderId="7" xfId="0" applyNumberFormat="1" applyFont="1" applyBorder="1" applyAlignment="1">
      <alignment horizontal="center" wrapText="1"/>
    </xf>
    <xf numFmtId="17" fontId="22" fillId="0" borderId="39" xfId="0" applyNumberFormat="1" applyFont="1" applyBorder="1" applyAlignment="1">
      <alignment horizontal="center" wrapText="1"/>
    </xf>
    <xf numFmtId="0" fontId="22" fillId="0" borderId="7" xfId="0" applyFont="1" applyBorder="1" applyAlignment="1">
      <alignment horizontal="center" wrapText="1"/>
    </xf>
    <xf numFmtId="0" fontId="22" fillId="0" borderId="39" xfId="0" applyFont="1" applyBorder="1" applyAlignment="1">
      <alignment horizontal="center" wrapText="1"/>
    </xf>
    <xf numFmtId="0" fontId="11" fillId="0" borderId="18" xfId="0" applyFont="1" applyBorder="1" applyAlignment="1">
      <alignment horizontal="center"/>
    </xf>
    <xf numFmtId="0" fontId="11" fillId="0" borderId="16" xfId="0" applyFont="1" applyBorder="1" applyAlignment="1">
      <alignment horizontal="center"/>
    </xf>
    <xf numFmtId="0" fontId="0" fillId="0" borderId="39" xfId="0" applyBorder="1" applyAlignment="1">
      <alignment horizontal="center" wrapText="1"/>
    </xf>
    <xf numFmtId="0" fontId="74" fillId="0" borderId="18" xfId="0" applyFont="1" applyBorder="1" applyAlignment="1">
      <alignment horizontal="center"/>
    </xf>
    <xf numFmtId="0" fontId="74" fillId="0" borderId="16" xfId="0" applyFont="1" applyBorder="1" applyAlignment="1">
      <alignment horizontal="center"/>
    </xf>
    <xf numFmtId="0" fontId="0" fillId="0" borderId="16" xfId="0" applyBorder="1"/>
    <xf numFmtId="0" fontId="44" fillId="46" borderId="85" xfId="0" applyFont="1" applyFill="1" applyBorder="1" applyAlignment="1">
      <alignment horizontal="center" wrapText="1"/>
    </xf>
    <xf numFmtId="0" fontId="43" fillId="46" borderId="71" xfId="0" applyFont="1" applyFill="1" applyBorder="1" applyAlignment="1">
      <alignment wrapText="1"/>
    </xf>
    <xf numFmtId="0" fontId="43" fillId="46" borderId="38" xfId="0" applyFont="1" applyFill="1" applyBorder="1" applyAlignment="1">
      <alignment wrapText="1"/>
    </xf>
    <xf numFmtId="17" fontId="44" fillId="0" borderId="7" xfId="0" applyNumberFormat="1" applyFont="1" applyBorder="1" applyAlignment="1">
      <alignment horizontal="center" wrapText="1"/>
    </xf>
    <xf numFmtId="0" fontId="43" fillId="0" borderId="39" xfId="0" applyFont="1" applyBorder="1" applyAlignment="1">
      <alignment horizontal="center" wrapText="1"/>
    </xf>
    <xf numFmtId="0" fontId="44" fillId="0" borderId="7" xfId="0" applyFont="1" applyBorder="1" applyAlignment="1">
      <alignment horizontal="center" wrapText="1"/>
    </xf>
    <xf numFmtId="0" fontId="44" fillId="43" borderId="85" xfId="0" applyFont="1" applyFill="1" applyBorder="1" applyAlignment="1">
      <alignment horizontal="center" wrapText="1"/>
    </xf>
    <xf numFmtId="0" fontId="43" fillId="43" borderId="71" xfId="0" applyFont="1" applyFill="1" applyBorder="1" applyAlignment="1">
      <alignment wrapText="1"/>
    </xf>
    <xf numFmtId="0" fontId="43" fillId="43" borderId="38" xfId="0" applyFont="1" applyFill="1" applyBorder="1" applyAlignment="1">
      <alignment wrapText="1"/>
    </xf>
    <xf numFmtId="17" fontId="44" fillId="0" borderId="39" xfId="0" applyNumberFormat="1" applyFont="1" applyBorder="1" applyAlignment="1">
      <alignment horizontal="center" wrapText="1"/>
    </xf>
    <xf numFmtId="0" fontId="44" fillId="0" borderId="39" xfId="0" applyFont="1" applyBorder="1" applyAlignment="1">
      <alignment horizontal="center" wrapText="1"/>
    </xf>
    <xf numFmtId="0" fontId="44" fillId="43" borderId="71" xfId="0" applyFont="1" applyFill="1" applyBorder="1" applyAlignment="1">
      <alignment horizontal="center" wrapText="1"/>
    </xf>
    <xf numFmtId="0" fontId="44" fillId="43" borderId="38" xfId="0" applyFont="1" applyFill="1" applyBorder="1" applyAlignment="1">
      <alignment horizontal="center" wrapText="1"/>
    </xf>
    <xf numFmtId="0" fontId="43" fillId="0" borderId="39" xfId="0" applyFont="1" applyBorder="1"/>
    <xf numFmtId="0" fontId="44" fillId="2" borderId="85" xfId="0" applyFont="1" applyFill="1" applyBorder="1" applyAlignment="1">
      <alignment horizontal="center" wrapText="1"/>
    </xf>
    <xf numFmtId="0" fontId="44" fillId="2" borderId="71" xfId="0" applyFont="1" applyFill="1" applyBorder="1" applyAlignment="1">
      <alignment horizontal="center" wrapText="1"/>
    </xf>
    <xf numFmtId="0" fontId="44" fillId="2" borderId="38" xfId="0" applyFont="1" applyFill="1" applyBorder="1" applyAlignment="1">
      <alignment horizontal="center" wrapText="1"/>
    </xf>
    <xf numFmtId="0" fontId="44" fillId="2" borderId="17" xfId="0" applyFont="1" applyFill="1" applyBorder="1" applyAlignment="1">
      <alignment horizontal="center" wrapText="1"/>
    </xf>
    <xf numFmtId="0" fontId="44" fillId="2" borderId="50" xfId="0" applyFont="1" applyFill="1" applyBorder="1" applyAlignment="1">
      <alignment horizontal="center" wrapText="1"/>
    </xf>
    <xf numFmtId="0" fontId="44" fillId="2" borderId="51" xfId="0" applyFont="1" applyFill="1" applyBorder="1" applyAlignment="1">
      <alignment horizontal="center" wrapText="1"/>
    </xf>
    <xf numFmtId="0" fontId="44" fillId="46" borderId="71" xfId="0" applyFont="1" applyFill="1" applyBorder="1" applyAlignment="1">
      <alignment horizontal="center" wrapText="1"/>
    </xf>
    <xf numFmtId="0" fontId="44" fillId="46" borderId="38" xfId="0" applyFont="1" applyFill="1" applyBorder="1" applyAlignment="1">
      <alignment horizontal="center" wrapText="1"/>
    </xf>
  </cellXfs>
  <cellStyles count="140">
    <cellStyle name="20% - Accent1" xfId="1" builtinId="30" customBuiltin="1"/>
    <cellStyle name="20% - Accent1 2" xfId="65" xr:uid="{00000000-0005-0000-0000-000001000000}"/>
    <cellStyle name="20% - Accent1 2 2" xfId="100" xr:uid="{00000000-0005-0000-0000-000002000000}"/>
    <cellStyle name="20% - Accent1 2 3" xfId="127" xr:uid="{00000000-0005-0000-0000-000003000000}"/>
    <cellStyle name="20% - Accent1 3" xfId="82" xr:uid="{00000000-0005-0000-0000-000004000000}"/>
    <cellStyle name="20% - Accent1 4" xfId="113" xr:uid="{00000000-0005-0000-0000-000005000000}"/>
    <cellStyle name="20% - Accent2" xfId="2" builtinId="34" customBuiltin="1"/>
    <cellStyle name="20% - Accent2 2" xfId="66" xr:uid="{00000000-0005-0000-0000-000007000000}"/>
    <cellStyle name="20% - Accent2 2 2" xfId="101" xr:uid="{00000000-0005-0000-0000-000008000000}"/>
    <cellStyle name="20% - Accent2 2 3" xfId="128" xr:uid="{00000000-0005-0000-0000-000009000000}"/>
    <cellStyle name="20% - Accent2 3" xfId="84" xr:uid="{00000000-0005-0000-0000-00000A000000}"/>
    <cellStyle name="20% - Accent2 4" xfId="114" xr:uid="{00000000-0005-0000-0000-00000B000000}"/>
    <cellStyle name="20% - Accent3" xfId="3" builtinId="38" customBuiltin="1"/>
    <cellStyle name="20% - Accent3 2" xfId="67" xr:uid="{00000000-0005-0000-0000-00000D000000}"/>
    <cellStyle name="20% - Accent3 2 2" xfId="102" xr:uid="{00000000-0005-0000-0000-00000E000000}"/>
    <cellStyle name="20% - Accent3 2 3" xfId="129" xr:uid="{00000000-0005-0000-0000-00000F000000}"/>
    <cellStyle name="20% - Accent3 3" xfId="86" xr:uid="{00000000-0005-0000-0000-000010000000}"/>
    <cellStyle name="20% - Accent3 4" xfId="115" xr:uid="{00000000-0005-0000-0000-000011000000}"/>
    <cellStyle name="20% - Accent4" xfId="4" builtinId="42" customBuiltin="1"/>
    <cellStyle name="20% - Accent4 2" xfId="68" xr:uid="{00000000-0005-0000-0000-000013000000}"/>
    <cellStyle name="20% - Accent4 2 2" xfId="103" xr:uid="{00000000-0005-0000-0000-000014000000}"/>
    <cellStyle name="20% - Accent4 2 3" xfId="130" xr:uid="{00000000-0005-0000-0000-000015000000}"/>
    <cellStyle name="20% - Accent4 3" xfId="88" xr:uid="{00000000-0005-0000-0000-000016000000}"/>
    <cellStyle name="20% - Accent4 4" xfId="116" xr:uid="{00000000-0005-0000-0000-000017000000}"/>
    <cellStyle name="20% - Accent5" xfId="5" builtinId="46" customBuiltin="1"/>
    <cellStyle name="20% - Accent5 2" xfId="69" xr:uid="{00000000-0005-0000-0000-000019000000}"/>
    <cellStyle name="20% - Accent5 2 2" xfId="104" xr:uid="{00000000-0005-0000-0000-00001A000000}"/>
    <cellStyle name="20% - Accent5 2 3" xfId="131" xr:uid="{00000000-0005-0000-0000-00001B000000}"/>
    <cellStyle name="20% - Accent5 3" xfId="90" xr:uid="{00000000-0005-0000-0000-00001C000000}"/>
    <cellStyle name="20% - Accent5 4" xfId="117" xr:uid="{00000000-0005-0000-0000-00001D000000}"/>
    <cellStyle name="20% - Accent6" xfId="6" builtinId="50" customBuiltin="1"/>
    <cellStyle name="20% - Accent6 2" xfId="70" xr:uid="{00000000-0005-0000-0000-00001F000000}"/>
    <cellStyle name="20% - Accent6 2 2" xfId="105" xr:uid="{00000000-0005-0000-0000-000020000000}"/>
    <cellStyle name="20% - Accent6 2 3" xfId="132" xr:uid="{00000000-0005-0000-0000-000021000000}"/>
    <cellStyle name="20% - Accent6 3" xfId="92" xr:uid="{00000000-0005-0000-0000-000022000000}"/>
    <cellStyle name="20% - Accent6 4" xfId="118" xr:uid="{00000000-0005-0000-0000-000023000000}"/>
    <cellStyle name="40% - Accent1" xfId="7" builtinId="31" customBuiltin="1"/>
    <cellStyle name="40% - Accent1 2" xfId="71" xr:uid="{00000000-0005-0000-0000-000025000000}"/>
    <cellStyle name="40% - Accent1 2 2" xfId="106" xr:uid="{00000000-0005-0000-0000-000026000000}"/>
    <cellStyle name="40% - Accent1 2 3" xfId="133" xr:uid="{00000000-0005-0000-0000-000027000000}"/>
    <cellStyle name="40% - Accent1 3" xfId="83" xr:uid="{00000000-0005-0000-0000-000028000000}"/>
    <cellStyle name="40% - Accent1 4" xfId="119" xr:uid="{00000000-0005-0000-0000-000029000000}"/>
    <cellStyle name="40% - Accent2" xfId="8" builtinId="35" customBuiltin="1"/>
    <cellStyle name="40% - Accent2 2" xfId="72" xr:uid="{00000000-0005-0000-0000-00002B000000}"/>
    <cellStyle name="40% - Accent2 2 2" xfId="107" xr:uid="{00000000-0005-0000-0000-00002C000000}"/>
    <cellStyle name="40% - Accent2 2 3" xfId="134" xr:uid="{00000000-0005-0000-0000-00002D000000}"/>
    <cellStyle name="40% - Accent2 3" xfId="85" xr:uid="{00000000-0005-0000-0000-00002E000000}"/>
    <cellStyle name="40% - Accent2 4" xfId="120" xr:uid="{00000000-0005-0000-0000-00002F000000}"/>
    <cellStyle name="40% - Accent3" xfId="9" builtinId="39" customBuiltin="1"/>
    <cellStyle name="40% - Accent3 2" xfId="73" xr:uid="{00000000-0005-0000-0000-000031000000}"/>
    <cellStyle name="40% - Accent3 2 2" xfId="108" xr:uid="{00000000-0005-0000-0000-000032000000}"/>
    <cellStyle name="40% - Accent3 2 3" xfId="135" xr:uid="{00000000-0005-0000-0000-000033000000}"/>
    <cellStyle name="40% - Accent3 3" xfId="87" xr:uid="{00000000-0005-0000-0000-000034000000}"/>
    <cellStyle name="40% - Accent3 4" xfId="121" xr:uid="{00000000-0005-0000-0000-000035000000}"/>
    <cellStyle name="40% - Accent4" xfId="10" builtinId="43" customBuiltin="1"/>
    <cellStyle name="40% - Accent4 2" xfId="74" xr:uid="{00000000-0005-0000-0000-000037000000}"/>
    <cellStyle name="40% - Accent4 2 2" xfId="109" xr:uid="{00000000-0005-0000-0000-000038000000}"/>
    <cellStyle name="40% - Accent4 2 3" xfId="136" xr:uid="{00000000-0005-0000-0000-000039000000}"/>
    <cellStyle name="40% - Accent4 3" xfId="89" xr:uid="{00000000-0005-0000-0000-00003A000000}"/>
    <cellStyle name="40% - Accent4 4" xfId="122" xr:uid="{00000000-0005-0000-0000-00003B000000}"/>
    <cellStyle name="40% - Accent5" xfId="11" builtinId="47" customBuiltin="1"/>
    <cellStyle name="40% - Accent5 2" xfId="75" xr:uid="{00000000-0005-0000-0000-00003D000000}"/>
    <cellStyle name="40% - Accent5 2 2" xfId="110" xr:uid="{00000000-0005-0000-0000-00003E000000}"/>
    <cellStyle name="40% - Accent5 2 3" xfId="137" xr:uid="{00000000-0005-0000-0000-00003F000000}"/>
    <cellStyle name="40% - Accent5 3" xfId="91" xr:uid="{00000000-0005-0000-0000-000040000000}"/>
    <cellStyle name="40% - Accent5 4" xfId="123" xr:uid="{00000000-0005-0000-0000-000041000000}"/>
    <cellStyle name="40% - Accent6" xfId="12" builtinId="51" customBuiltin="1"/>
    <cellStyle name="40% - Accent6 2" xfId="76" xr:uid="{00000000-0005-0000-0000-000043000000}"/>
    <cellStyle name="40% - Accent6 2 2" xfId="111" xr:uid="{00000000-0005-0000-0000-000044000000}"/>
    <cellStyle name="40% - Accent6 2 3" xfId="138" xr:uid="{00000000-0005-0000-0000-000045000000}"/>
    <cellStyle name="40% - Accent6 3" xfId="93" xr:uid="{00000000-0005-0000-0000-000046000000}"/>
    <cellStyle name="40% - Accent6 4" xfId="124" xr:uid="{00000000-0005-0000-0000-000047000000}"/>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xr:uid="{00000000-0005-0000-0000-000058000000}"/>
    <cellStyle name="Comma 2 2" xfId="30" xr:uid="{00000000-0005-0000-0000-000059000000}"/>
    <cellStyle name="Comma 3" xfId="60" xr:uid="{00000000-0005-0000-0000-00005A000000}"/>
    <cellStyle name="Comma 4" xfId="96" xr:uid="{00000000-0005-0000-0000-00005B000000}"/>
    <cellStyle name="Comma 5" xfId="94" xr:uid="{00000000-0005-0000-0000-00005C000000}"/>
    <cellStyle name="Currency" xfId="31" builtinId="4"/>
    <cellStyle name="Currency 2" xfId="32" xr:uid="{00000000-0005-0000-0000-00005E000000}"/>
    <cellStyle name="Currency 3" xfId="61" xr:uid="{00000000-0005-0000-0000-00005F000000}"/>
    <cellStyle name="Currency 4" xfId="97" xr:uid="{00000000-0005-0000-0000-000060000000}"/>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Input" xfId="39" builtinId="20" customBuiltin="1"/>
    <cellStyle name="Linked Cell" xfId="40" builtinId="24" customBuiltin="1"/>
    <cellStyle name="Neutral" xfId="41" builtinId="28" customBuiltin="1"/>
    <cellStyle name="Normal" xfId="0" builtinId="0"/>
    <cellStyle name="Normal 10" xfId="63" xr:uid="{00000000-0005-0000-0000-00006B000000}"/>
    <cellStyle name="Normal 11" xfId="64" xr:uid="{00000000-0005-0000-0000-00006C000000}"/>
    <cellStyle name="Normal 11 2" xfId="99" xr:uid="{00000000-0005-0000-0000-00006D000000}"/>
    <cellStyle name="Normal 12" xfId="95" xr:uid="{00000000-0005-0000-0000-00006E000000}"/>
    <cellStyle name="Normal 13" xfId="79" xr:uid="{00000000-0005-0000-0000-00006F000000}"/>
    <cellStyle name="Normal 2" xfId="42" xr:uid="{00000000-0005-0000-0000-000070000000}"/>
    <cellStyle name="Normal 2 2" xfId="43" xr:uid="{00000000-0005-0000-0000-000071000000}"/>
    <cellStyle name="Normal 2 2 2" xfId="44" xr:uid="{00000000-0005-0000-0000-000072000000}"/>
    <cellStyle name="Normal 2 2_Sched-D2" xfId="45" xr:uid="{00000000-0005-0000-0000-000073000000}"/>
    <cellStyle name="Normal 2 3" xfId="77" xr:uid="{00000000-0005-0000-0000-000074000000}"/>
    <cellStyle name="Normal 2 3 2" xfId="112" xr:uid="{00000000-0005-0000-0000-000075000000}"/>
    <cellStyle name="Normal 2 3 3" xfId="139" xr:uid="{00000000-0005-0000-0000-000076000000}"/>
    <cellStyle name="Normal 2 4" xfId="78" xr:uid="{00000000-0005-0000-0000-000077000000}"/>
    <cellStyle name="Normal 2 5" xfId="98" xr:uid="{00000000-0005-0000-0000-000078000000}"/>
    <cellStyle name="Normal 2 6" xfId="80" xr:uid="{00000000-0005-0000-0000-000079000000}"/>
    <cellStyle name="Normal 2 7" xfId="126" xr:uid="{00000000-0005-0000-0000-00007A000000}"/>
    <cellStyle name="Normal 2 8" xfId="125" xr:uid="{00000000-0005-0000-0000-00007B000000}"/>
    <cellStyle name="Normal 2_Sched-D2" xfId="46" xr:uid="{00000000-0005-0000-0000-00007C000000}"/>
    <cellStyle name="Normal 3" xfId="47" xr:uid="{00000000-0005-0000-0000-00007D000000}"/>
    <cellStyle name="Normal 4" xfId="48" xr:uid="{00000000-0005-0000-0000-00007E000000}"/>
    <cellStyle name="Normal 5" xfId="49" xr:uid="{00000000-0005-0000-0000-00007F000000}"/>
    <cellStyle name="Normal 6" xfId="50" xr:uid="{00000000-0005-0000-0000-000080000000}"/>
    <cellStyle name="Normal 7" xfId="51" xr:uid="{00000000-0005-0000-0000-000081000000}"/>
    <cellStyle name="Normal 8" xfId="59" xr:uid="{00000000-0005-0000-0000-000082000000}"/>
    <cellStyle name="Normal 9" xfId="62" xr:uid="{00000000-0005-0000-0000-000083000000}"/>
    <cellStyle name="Note 2" xfId="52" xr:uid="{00000000-0005-0000-0000-000084000000}"/>
    <cellStyle name="Note 2 2" xfId="53" xr:uid="{00000000-0005-0000-0000-000085000000}"/>
    <cellStyle name="Note 2 2 2" xfId="54" xr:uid="{00000000-0005-0000-0000-000086000000}"/>
    <cellStyle name="Note 3" xfId="81" xr:uid="{00000000-0005-0000-0000-000087000000}"/>
    <cellStyle name="Output" xfId="55" builtinId="21" customBuiltin="1"/>
    <cellStyle name="Title" xfId="56" builtinId="15" customBuiltin="1"/>
    <cellStyle name="Total" xfId="57" builtinId="25" customBuiltin="1"/>
    <cellStyle name="Warning Text" xfId="58"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99</xdr:row>
      <xdr:rowOff>0</xdr:rowOff>
    </xdr:from>
    <xdr:to>
      <xdr:col>0</xdr:col>
      <xdr:colOff>198120</xdr:colOff>
      <xdr:row>99</xdr:row>
      <xdr:rowOff>144780</xdr:rowOff>
    </xdr:to>
    <xdr:pic>
      <xdr:nvPicPr>
        <xdr:cNvPr id="21012" name="Picture 1" hidden="1">
          <a:extLst>
            <a:ext uri="{FF2B5EF4-FFF2-40B4-BE49-F238E27FC236}">
              <a16:creationId xmlns:a16="http://schemas.microsoft.com/office/drawing/2014/main" id="{00000000-0008-0000-1000-00001452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179540"/>
          <a:ext cx="198120" cy="144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G47"/>
  <sheetViews>
    <sheetView showGridLines="0" tabSelected="1" workbookViewId="0">
      <selection sqref="A1:B1"/>
    </sheetView>
  </sheetViews>
  <sheetFormatPr defaultColWidth="9.140625" defaultRowHeight="15.75" x14ac:dyDescent="0.25"/>
  <cols>
    <col min="1" max="1" width="70.140625" style="194" customWidth="1"/>
    <col min="2" max="2" width="21.140625" style="194" customWidth="1"/>
    <col min="3" max="3" width="1.85546875" style="194" hidden="1" customWidth="1"/>
    <col min="4" max="4" width="18.140625" style="194" customWidth="1"/>
    <col min="5" max="16384" width="9.140625" style="194"/>
  </cols>
  <sheetData>
    <row r="1" spans="1:7" ht="27" customHeight="1" thickBot="1" x14ac:dyDescent="0.3">
      <c r="A1" s="970" t="s">
        <v>962</v>
      </c>
      <c r="B1" s="970"/>
    </row>
    <row r="2" spans="1:7" ht="16.5" thickTop="1" x14ac:dyDescent="0.25">
      <c r="A2" s="661" t="s">
        <v>216</v>
      </c>
      <c r="B2" s="180">
        <f>'BILLING RATE CALC'!F24</f>
        <v>264139673.31405827</v>
      </c>
    </row>
    <row r="3" spans="1:7" x14ac:dyDescent="0.25">
      <c r="A3" s="182" t="s">
        <v>464</v>
      </c>
      <c r="B3" s="183">
        <f>B2/365</f>
        <v>723670.33784673503</v>
      </c>
    </row>
    <row r="4" spans="1:7" x14ac:dyDescent="0.25">
      <c r="A4" s="188" t="s">
        <v>919</v>
      </c>
      <c r="B4" s="185">
        <f>'Inmate Avg Daily Population'!N18</f>
        <v>4288.6916666666666</v>
      </c>
    </row>
    <row r="5" spans="1:7" x14ac:dyDescent="0.25">
      <c r="A5" s="182" t="s">
        <v>922</v>
      </c>
      <c r="B5" s="185">
        <f>B4*365</f>
        <v>1565372.4583333333</v>
      </c>
    </row>
    <row r="6" spans="1:7" s="237" customFormat="1" ht="16.5" thickBot="1" x14ac:dyDescent="0.3">
      <c r="A6" s="239" t="s">
        <v>217</v>
      </c>
      <c r="B6" s="240">
        <f>'BILLING RATE CALC'!G24</f>
        <v>168.73918530244887</v>
      </c>
      <c r="D6" s="194"/>
    </row>
    <row r="7" spans="1:7" x14ac:dyDescent="0.25">
      <c r="A7" s="186"/>
      <c r="B7" s="187"/>
    </row>
    <row r="8" spans="1:7" x14ac:dyDescent="0.25">
      <c r="A8" s="188" t="s">
        <v>0</v>
      </c>
      <c r="B8" s="189" t="s">
        <v>0</v>
      </c>
    </row>
    <row r="9" spans="1:7" x14ac:dyDescent="0.25">
      <c r="A9" s="182" t="s">
        <v>218</v>
      </c>
      <c r="B9" s="190">
        <f>'COST ALLOCATION'!J36</f>
        <v>18170910.314688187</v>
      </c>
    </row>
    <row r="10" spans="1:7" x14ac:dyDescent="0.25">
      <c r="A10" s="182" t="s">
        <v>464</v>
      </c>
      <c r="B10" s="191">
        <f>B9/365</f>
        <v>49783.31593065257</v>
      </c>
    </row>
    <row r="11" spans="1:7" x14ac:dyDescent="0.25">
      <c r="A11" s="188" t="s">
        <v>920</v>
      </c>
      <c r="B11" s="883">
        <f>'Inmate Avg Daily Population'!N20+'Inmate Avg Daily Population'!N21</f>
        <v>324.48499999999996</v>
      </c>
    </row>
    <row r="12" spans="1:7" x14ac:dyDescent="0.25">
      <c r="A12" s="182" t="s">
        <v>922</v>
      </c>
      <c r="B12" s="185">
        <f>B11*365</f>
        <v>118437.02499999998</v>
      </c>
    </row>
    <row r="13" spans="1:7" s="237" customFormat="1" ht="16.5" thickBot="1" x14ac:dyDescent="0.3">
      <c r="A13" s="239" t="s">
        <v>527</v>
      </c>
      <c r="B13" s="240">
        <f>B10/B11</f>
        <v>153.42254936484761</v>
      </c>
      <c r="D13" s="194"/>
    </row>
    <row r="14" spans="1:7" x14ac:dyDescent="0.25">
      <c r="A14" s="192"/>
      <c r="B14" s="193"/>
    </row>
    <row r="15" spans="1:7" x14ac:dyDescent="0.25">
      <c r="A15" s="188" t="s">
        <v>0</v>
      </c>
      <c r="B15" s="189" t="s">
        <v>0</v>
      </c>
    </row>
    <row r="16" spans="1:7" x14ac:dyDescent="0.25">
      <c r="A16" s="182" t="s">
        <v>219</v>
      </c>
      <c r="B16" s="190">
        <f>'COST ALLOCATION'!J33+'COST ALLOCATION'!J32</f>
        <v>17500171.392257921</v>
      </c>
      <c r="G16" s="195"/>
    </row>
    <row r="17" spans="1:7" x14ac:dyDescent="0.25">
      <c r="A17" s="182" t="s">
        <v>464</v>
      </c>
      <c r="B17" s="196">
        <f>B16/365</f>
        <v>47945.675047281977</v>
      </c>
      <c r="G17" s="197"/>
    </row>
    <row r="18" spans="1:7" x14ac:dyDescent="0.25">
      <c r="A18" s="182" t="s">
        <v>921</v>
      </c>
      <c r="B18" s="662">
        <f>'Monthly PO Workload Stats'!G314</f>
        <v>4301.9999999999991</v>
      </c>
      <c r="C18" s="198" t="s">
        <v>156</v>
      </c>
      <c r="F18" s="198"/>
      <c r="G18" s="199"/>
    </row>
    <row r="19" spans="1:7" x14ac:dyDescent="0.25">
      <c r="A19" s="182" t="s">
        <v>922</v>
      </c>
      <c r="B19" s="185">
        <f>B18*365</f>
        <v>1570229.9999999998</v>
      </c>
    </row>
    <row r="20" spans="1:7" s="237" customFormat="1" ht="16.5" thickBot="1" x14ac:dyDescent="0.3">
      <c r="A20" s="239" t="s">
        <v>241</v>
      </c>
      <c r="B20" s="240">
        <f>B17/B18</f>
        <v>11.144973279238025</v>
      </c>
    </row>
    <row r="21" spans="1:7" x14ac:dyDescent="0.25">
      <c r="A21" s="200"/>
      <c r="B21" s="193"/>
    </row>
    <row r="22" spans="1:7" x14ac:dyDescent="0.25">
      <c r="A22" s="181"/>
      <c r="B22" s="201"/>
    </row>
    <row r="23" spans="1:7" x14ac:dyDescent="0.25">
      <c r="A23" s="182" t="s">
        <v>220</v>
      </c>
      <c r="B23" s="190">
        <f>'COST ALLOCATION'!J31</f>
        <v>7272057.5963165266</v>
      </c>
    </row>
    <row r="24" spans="1:7" x14ac:dyDescent="0.25">
      <c r="A24" s="182" t="s">
        <v>464</v>
      </c>
      <c r="B24" s="191">
        <f>B23/365</f>
        <v>19923.445469360347</v>
      </c>
    </row>
    <row r="25" spans="1:7" x14ac:dyDescent="0.25">
      <c r="A25" s="182" t="s">
        <v>918</v>
      </c>
      <c r="B25" s="663">
        <f>'Avg Daily Community Jails'!H41</f>
        <v>54.804109589041097</v>
      </c>
      <c r="C25" s="198" t="s">
        <v>156</v>
      </c>
    </row>
    <row r="26" spans="1:7" x14ac:dyDescent="0.25">
      <c r="A26" s="182" t="s">
        <v>922</v>
      </c>
      <c r="B26" s="185">
        <f>B25*365</f>
        <v>20003.5</v>
      </c>
    </row>
    <row r="27" spans="1:7" s="237" customFormat="1" ht="16.5" thickBot="1" x14ac:dyDescent="0.3">
      <c r="A27" s="239" t="s">
        <v>75</v>
      </c>
      <c r="B27" s="240">
        <f>B24/B25</f>
        <v>363.53926044524843</v>
      </c>
    </row>
    <row r="28" spans="1:7" x14ac:dyDescent="0.25">
      <c r="A28" s="200"/>
      <c r="B28" s="193"/>
    </row>
    <row r="29" spans="1:7" x14ac:dyDescent="0.25">
      <c r="A29" s="181"/>
      <c r="B29" s="201"/>
    </row>
    <row r="30" spans="1:7" x14ac:dyDescent="0.25">
      <c r="A30" s="182" t="s">
        <v>332</v>
      </c>
      <c r="B30" s="190">
        <f>'COST ALLOCATION'!J35</f>
        <v>2651350.2674838989</v>
      </c>
    </row>
    <row r="31" spans="1:7" x14ac:dyDescent="0.25">
      <c r="A31" s="182" t="s">
        <v>464</v>
      </c>
      <c r="B31" s="190">
        <f>B30/365</f>
        <v>7263.9733355723256</v>
      </c>
    </row>
    <row r="32" spans="1:7" x14ac:dyDescent="0.25">
      <c r="A32" s="182" t="s">
        <v>923</v>
      </c>
      <c r="B32" s="663">
        <f>'Inmate Avg Daily Population'!N23</f>
        <v>217.41666666666666</v>
      </c>
      <c r="C32" s="198" t="s">
        <v>156</v>
      </c>
    </row>
    <row r="33" spans="1:2" x14ac:dyDescent="0.25">
      <c r="A33" s="182" t="s">
        <v>922</v>
      </c>
      <c r="B33" s="185">
        <f>B32*365</f>
        <v>79357.083333333328</v>
      </c>
    </row>
    <row r="34" spans="1:2" s="237" customFormat="1" ht="16.5" thickBot="1" x14ac:dyDescent="0.3">
      <c r="A34" s="239" t="s">
        <v>75</v>
      </c>
      <c r="B34" s="240">
        <f>B31/B32</f>
        <v>33.410379466028331</v>
      </c>
    </row>
    <row r="35" spans="1:2" x14ac:dyDescent="0.25">
      <c r="A35" s="200"/>
      <c r="B35" s="193"/>
    </row>
    <row r="36" spans="1:2" x14ac:dyDescent="0.25">
      <c r="A36" s="181"/>
      <c r="B36" s="201"/>
    </row>
    <row r="37" spans="1:2" x14ac:dyDescent="0.25">
      <c r="A37" s="182" t="s">
        <v>549</v>
      </c>
      <c r="B37" s="190">
        <f>'COST ALLOCATION'!J34</f>
        <v>312161.03611083585</v>
      </c>
    </row>
    <row r="38" spans="1:2" x14ac:dyDescent="0.25">
      <c r="A38" s="182" t="s">
        <v>464</v>
      </c>
      <c r="B38" s="191">
        <f>B37/365</f>
        <v>855.23571537215298</v>
      </c>
    </row>
    <row r="39" spans="1:2" x14ac:dyDescent="0.25">
      <c r="A39" s="182" t="s">
        <v>924</v>
      </c>
      <c r="B39" s="663">
        <f>'Inmate Avg Daily Population'!N24+'Inmate Avg Daily Population'!N25</f>
        <v>10.75</v>
      </c>
    </row>
    <row r="40" spans="1:2" x14ac:dyDescent="0.25">
      <c r="A40" s="182" t="s">
        <v>922</v>
      </c>
      <c r="B40" s="185">
        <f>B39*365</f>
        <v>3923.75</v>
      </c>
    </row>
    <row r="41" spans="1:2" s="237" customFormat="1" ht="16.5" thickBot="1" x14ac:dyDescent="0.3">
      <c r="A41" s="239" t="s">
        <v>77</v>
      </c>
      <c r="B41" s="240">
        <f>B38/B39</f>
        <v>79.5568107322933</v>
      </c>
    </row>
    <row r="42" spans="1:2" x14ac:dyDescent="0.25">
      <c r="A42" s="202" t="s">
        <v>0</v>
      </c>
      <c r="B42" s="203" t="s">
        <v>0</v>
      </c>
    </row>
    <row r="43" spans="1:2" x14ac:dyDescent="0.25">
      <c r="A43" s="341"/>
      <c r="B43" s="204" t="s">
        <v>76</v>
      </c>
    </row>
    <row r="44" spans="1:2" x14ac:dyDescent="0.25">
      <c r="A44" s="238" t="s">
        <v>926</v>
      </c>
      <c r="B44" s="199"/>
    </row>
    <row r="45" spans="1:2" x14ac:dyDescent="0.25">
      <c r="A45" s="237"/>
      <c r="B45" s="199"/>
    </row>
    <row r="46" spans="1:2" x14ac:dyDescent="0.25">
      <c r="A46" s="237"/>
      <c r="B46" s="199"/>
    </row>
    <row r="47" spans="1:2" x14ac:dyDescent="0.25">
      <c r="A47" s="237"/>
      <c r="B47" s="199"/>
    </row>
  </sheetData>
  <mergeCells count="1">
    <mergeCell ref="A1:B1"/>
  </mergeCells>
  <phoneticPr fontId="21" type="noConversion"/>
  <printOptions horizontalCentered="1" verticalCentered="1"/>
  <pageMargins left="0.25" right="0.25" top="1" bottom="0.75" header="0.3" footer="0.3"/>
  <pageSetup orientation="portrait" r:id="rId1"/>
  <headerFooter alignWithMargins="0">
    <oddHeader xml:space="preserve">&amp;C&amp;"Arial,Bold"&amp;12DEPARTMENT OF CORRECTIONS
FY2019/FY2020 Daily Cost of Care Rate </oddHeader>
    <oddFooter>&amp;L&amp;8FY2019/FY2020 Daily Cost of Care Rate &amp;R&amp;8&amp;P of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I42"/>
  <sheetViews>
    <sheetView showGridLines="0" topLeftCell="A19" workbookViewId="0">
      <selection activeCell="H16" sqref="H16"/>
    </sheetView>
  </sheetViews>
  <sheetFormatPr defaultColWidth="9.140625" defaultRowHeight="15.75" x14ac:dyDescent="0.25"/>
  <cols>
    <col min="1" max="1" width="17" style="194" customWidth="1"/>
    <col min="2" max="2" width="6.5703125" style="194" customWidth="1"/>
    <col min="3" max="3" width="5.85546875" style="194" bestFit="1" customWidth="1"/>
    <col min="4" max="4" width="16.7109375" style="194" customWidth="1"/>
    <col min="5" max="5" width="5.85546875" style="194" customWidth="1"/>
    <col min="6" max="6" width="14.140625" style="194" customWidth="1"/>
    <col min="7" max="7" width="9.140625" style="194"/>
    <col min="8" max="8" width="27.5703125" style="194" customWidth="1"/>
    <col min="9" max="9" width="18.140625" style="194" bestFit="1" customWidth="1"/>
    <col min="10" max="16384" width="9.140625" style="194"/>
  </cols>
  <sheetData>
    <row r="1" spans="1:9" ht="28.5" customHeight="1" thickBot="1" x14ac:dyDescent="0.3">
      <c r="A1" s="971" t="s">
        <v>174</v>
      </c>
      <c r="B1" s="971"/>
      <c r="C1" s="971"/>
      <c r="D1" s="971"/>
      <c r="E1" s="971"/>
      <c r="F1" s="971"/>
      <c r="G1" s="971"/>
      <c r="H1" s="971"/>
    </row>
    <row r="2" spans="1:9" s="246" customFormat="1" ht="38.25" customHeight="1" thickBot="1" x14ac:dyDescent="0.25">
      <c r="A2" s="976" t="s">
        <v>158</v>
      </c>
      <c r="B2" s="977"/>
      <c r="C2" s="977"/>
      <c r="D2" s="977"/>
      <c r="E2" s="977"/>
      <c r="F2" s="977"/>
      <c r="G2" s="977"/>
      <c r="H2" s="978"/>
    </row>
    <row r="3" spans="1:9" ht="27.75" customHeight="1" x14ac:dyDescent="0.25">
      <c r="A3" s="213" t="s">
        <v>159</v>
      </c>
      <c r="B3" s="214" t="s">
        <v>162</v>
      </c>
      <c r="C3" s="202"/>
      <c r="D3" s="202"/>
      <c r="E3" s="202" t="s">
        <v>161</v>
      </c>
      <c r="F3" s="202"/>
      <c r="H3" s="216" t="s">
        <v>163</v>
      </c>
    </row>
    <row r="4" spans="1:9" ht="27.75" customHeight="1" thickBot="1" x14ac:dyDescent="0.3">
      <c r="A4" s="217" t="s">
        <v>160</v>
      </c>
      <c r="B4" s="218" t="s">
        <v>337</v>
      </c>
      <c r="C4" s="219"/>
      <c r="D4" s="219"/>
      <c r="E4" s="219"/>
      <c r="F4" s="219"/>
      <c r="G4" s="219"/>
      <c r="H4" s="241"/>
    </row>
    <row r="5" spans="1:9" ht="42.6" customHeight="1" thickBot="1" x14ac:dyDescent="0.3">
      <c r="A5" s="976" t="s">
        <v>164</v>
      </c>
      <c r="B5" s="977"/>
      <c r="C5" s="977"/>
      <c r="D5" s="977"/>
      <c r="E5" s="977"/>
      <c r="F5" s="977"/>
      <c r="G5" s="977"/>
      <c r="H5" s="978"/>
    </row>
    <row r="6" spans="1:9" ht="24" customHeight="1" x14ac:dyDescent="0.25">
      <c r="A6" s="220" t="s">
        <v>165</v>
      </c>
      <c r="H6" s="221"/>
    </row>
    <row r="7" spans="1:9" ht="24" customHeight="1" x14ac:dyDescent="0.25">
      <c r="A7" s="222" t="s">
        <v>208</v>
      </c>
      <c r="C7" s="223" t="s">
        <v>166</v>
      </c>
      <c r="D7" s="224">
        <v>42917</v>
      </c>
      <c r="E7" s="223" t="s">
        <v>167</v>
      </c>
      <c r="F7" s="224">
        <v>43281</v>
      </c>
      <c r="H7" s="221"/>
    </row>
    <row r="8" spans="1:9" x14ac:dyDescent="0.25">
      <c r="A8" s="222"/>
      <c r="D8" s="242" t="s">
        <v>168</v>
      </c>
      <c r="F8" s="242" t="s">
        <v>168</v>
      </c>
      <c r="H8" s="225" t="s">
        <v>4</v>
      </c>
    </row>
    <row r="9" spans="1:9" ht="28.5" customHeight="1" x14ac:dyDescent="0.25">
      <c r="A9" s="222" t="s">
        <v>221</v>
      </c>
      <c r="H9" s="622">
        <f>'Sched-B1'!B17</f>
        <v>91270754.679999992</v>
      </c>
    </row>
    <row r="10" spans="1:9" ht="28.5" customHeight="1" x14ac:dyDescent="0.25">
      <c r="A10" s="222" t="s">
        <v>222</v>
      </c>
      <c r="H10" s="622">
        <f>'Sched-B1'!C17+'Sched-B1'!D17</f>
        <v>54779071.469999999</v>
      </c>
      <c r="I10" s="243"/>
    </row>
    <row r="11" spans="1:9" ht="28.5" customHeight="1" x14ac:dyDescent="0.25">
      <c r="A11" s="222" t="s">
        <v>169</v>
      </c>
      <c r="H11" s="622">
        <f>'Sched-C'!D24</f>
        <v>23573090.359999999</v>
      </c>
    </row>
    <row r="12" spans="1:9" ht="28.5" customHeight="1" x14ac:dyDescent="0.25">
      <c r="A12" s="222" t="s">
        <v>224</v>
      </c>
      <c r="H12" s="623">
        <f>'Sched-D1'!F660+'Sched-D2'!F134</f>
        <v>76533265.74000001</v>
      </c>
    </row>
    <row r="13" spans="1:9" ht="28.5" customHeight="1" x14ac:dyDescent="0.25">
      <c r="A13" s="222" t="s">
        <v>170</v>
      </c>
      <c r="H13" s="623">
        <f>'Sched-E'!E3</f>
        <v>11288153.45314263</v>
      </c>
    </row>
    <row r="14" spans="1:9" ht="24.75" customHeight="1" x14ac:dyDescent="0.25">
      <c r="A14" s="222" t="s">
        <v>171</v>
      </c>
      <c r="H14" s="622">
        <f>'Sched-F-G'!C18</f>
        <v>744789.69091559993</v>
      </c>
    </row>
    <row r="15" spans="1:9" ht="24" customHeight="1" x14ac:dyDescent="0.25">
      <c r="A15" s="222" t="s">
        <v>172</v>
      </c>
      <c r="H15" s="623">
        <f>'Sched-F-G'!D38</f>
        <v>6668792.2400000002</v>
      </c>
    </row>
    <row r="16" spans="1:9" ht="28.5" customHeight="1" x14ac:dyDescent="0.25">
      <c r="A16" s="222" t="s">
        <v>173</v>
      </c>
      <c r="H16" s="623">
        <f>SUM(H9:H15)</f>
        <v>264857917.63405827</v>
      </c>
    </row>
    <row r="17" spans="1:9" ht="28.5" customHeight="1" x14ac:dyDescent="0.25">
      <c r="A17" s="624" t="s">
        <v>526</v>
      </c>
      <c r="H17" s="884">
        <v>261153561.08000001</v>
      </c>
      <c r="I17" s="243"/>
    </row>
    <row r="18" spans="1:9" ht="16.5" thickBot="1" x14ac:dyDescent="0.3">
      <c r="A18" s="217"/>
      <c r="B18" s="219"/>
      <c r="C18" s="219"/>
      <c r="D18" s="219"/>
      <c r="E18" s="219"/>
      <c r="F18" s="219"/>
      <c r="G18" s="219"/>
      <c r="H18" s="227"/>
    </row>
    <row r="19" spans="1:9" ht="25.5" customHeight="1" thickBot="1" x14ac:dyDescent="0.3">
      <c r="A19" s="198" t="s">
        <v>181</v>
      </c>
    </row>
    <row r="20" spans="1:9" s="246" customFormat="1" ht="30.75" customHeight="1" thickBot="1" x14ac:dyDescent="0.25">
      <c r="A20" s="976" t="s">
        <v>175</v>
      </c>
      <c r="B20" s="977"/>
      <c r="C20" s="977"/>
      <c r="D20" s="977"/>
      <c r="E20" s="977"/>
      <c r="F20" s="977"/>
      <c r="G20" s="977"/>
      <c r="H20" s="978"/>
    </row>
    <row r="21" spans="1:9" ht="27.75" customHeight="1" x14ac:dyDescent="0.25">
      <c r="A21" s="198" t="s">
        <v>176</v>
      </c>
      <c r="E21" s="223" t="s">
        <v>179</v>
      </c>
      <c r="F21" s="224">
        <v>42917</v>
      </c>
      <c r="G21" s="223" t="s">
        <v>180</v>
      </c>
      <c r="H21" s="224">
        <v>43281</v>
      </c>
    </row>
    <row r="22" spans="1:9" x14ac:dyDescent="0.25">
      <c r="A22" s="237" t="s">
        <v>177</v>
      </c>
      <c r="F22" s="242" t="s">
        <v>168</v>
      </c>
      <c r="H22" s="242" t="s">
        <v>168</v>
      </c>
    </row>
    <row r="23" spans="1:9" ht="24" customHeight="1" x14ac:dyDescent="0.25">
      <c r="A23" s="198" t="s">
        <v>178</v>
      </c>
      <c r="D23" s="231" t="s">
        <v>182</v>
      </c>
      <c r="E23" s="231"/>
      <c r="F23" s="231" t="s">
        <v>183</v>
      </c>
      <c r="G23" s="231"/>
      <c r="H23" s="231" t="s">
        <v>47</v>
      </c>
    </row>
    <row r="24" spans="1:9" ht="24.75" customHeight="1" x14ac:dyDescent="0.25">
      <c r="D24" s="247" t="s">
        <v>103</v>
      </c>
      <c r="E24" s="231"/>
      <c r="F24" s="247" t="s">
        <v>103</v>
      </c>
      <c r="G24" s="231"/>
      <c r="H24" s="248">
        <v>4838</v>
      </c>
    </row>
    <row r="25" spans="1:9" ht="30" customHeight="1" x14ac:dyDescent="0.25">
      <c r="A25" s="198" t="s">
        <v>184</v>
      </c>
      <c r="B25" s="230"/>
      <c r="C25" s="230"/>
      <c r="D25" s="231" t="s">
        <v>182</v>
      </c>
      <c r="E25" s="231"/>
      <c r="F25" s="231" t="s">
        <v>183</v>
      </c>
      <c r="G25" s="231"/>
      <c r="H25" s="231" t="s">
        <v>47</v>
      </c>
    </row>
    <row r="26" spans="1:9" ht="24.75" customHeight="1" x14ac:dyDescent="0.25">
      <c r="A26" s="230" t="s">
        <v>185</v>
      </c>
      <c r="C26" s="223" t="s">
        <v>186</v>
      </c>
      <c r="D26" s="247" t="s">
        <v>103</v>
      </c>
      <c r="E26" s="231"/>
      <c r="F26" s="247" t="s">
        <v>103</v>
      </c>
      <c r="G26" s="231"/>
      <c r="H26" s="247"/>
    </row>
    <row r="27" spans="1:9" ht="24.75" customHeight="1" x14ac:dyDescent="0.25">
      <c r="C27" s="223" t="s">
        <v>187</v>
      </c>
      <c r="D27" s="247" t="s">
        <v>103</v>
      </c>
      <c r="E27" s="231"/>
      <c r="F27" s="247" t="s">
        <v>103</v>
      </c>
      <c r="G27" s="231"/>
      <c r="H27" s="247"/>
    </row>
    <row r="28" spans="1:9" ht="24.75" customHeight="1" x14ac:dyDescent="0.25">
      <c r="C28" s="223" t="s">
        <v>188</v>
      </c>
      <c r="D28" s="247" t="s">
        <v>103</v>
      </c>
      <c r="E28" s="231"/>
      <c r="F28" s="247" t="s">
        <v>103</v>
      </c>
      <c r="G28" s="231"/>
      <c r="H28" s="247"/>
    </row>
    <row r="29" spans="1:9" ht="24.75" customHeight="1" thickBot="1" x14ac:dyDescent="0.3">
      <c r="A29" s="244"/>
      <c r="C29" s="223" t="s">
        <v>26</v>
      </c>
      <c r="D29" s="249">
        <f>H29-F29</f>
        <v>3899.6195666666667</v>
      </c>
      <c r="E29" s="231"/>
      <c r="F29" s="250">
        <f>'IADP-By Gender'!J19</f>
        <v>389.07209999999998</v>
      </c>
      <c r="G29" s="231"/>
      <c r="H29" s="249">
        <f>'Inmate Avg Daily Population'!N18</f>
        <v>4288.6916666666666</v>
      </c>
    </row>
    <row r="30" spans="1:9" ht="31.5" customHeight="1" thickBot="1" x14ac:dyDescent="0.3">
      <c r="A30" s="972" t="s">
        <v>189</v>
      </c>
      <c r="B30" s="973"/>
      <c r="C30" s="973"/>
      <c r="D30" s="973"/>
      <c r="E30" s="973"/>
      <c r="F30" s="973"/>
      <c r="G30" s="973"/>
      <c r="H30" s="974"/>
    </row>
    <row r="31" spans="1:9" ht="24.75" customHeight="1" x14ac:dyDescent="0.25">
      <c r="A31" s="194" t="s">
        <v>190</v>
      </c>
      <c r="F31" s="232">
        <f>'BILLING RATE CALC'!G24</f>
        <v>168.73918530244887</v>
      </c>
    </row>
    <row r="32" spans="1:9" ht="24.75" customHeight="1" thickBot="1" x14ac:dyDescent="0.3">
      <c r="A32" s="194" t="s">
        <v>191</v>
      </c>
      <c r="F32" s="233">
        <f>'BILLING RATE CALC'!G24</f>
        <v>168.73918530244887</v>
      </c>
    </row>
    <row r="33" spans="1:8" ht="26.25" customHeight="1" thickBot="1" x14ac:dyDescent="0.3">
      <c r="A33" s="972" t="s">
        <v>209</v>
      </c>
      <c r="B33" s="973"/>
      <c r="C33" s="973"/>
      <c r="D33" s="973"/>
      <c r="E33" s="973"/>
      <c r="F33" s="973"/>
      <c r="G33" s="973"/>
      <c r="H33" s="974"/>
    </row>
    <row r="34" spans="1:8" x14ac:dyDescent="0.25">
      <c r="A34" s="12" t="s">
        <v>192</v>
      </c>
    </row>
    <row r="35" spans="1:8" x14ac:dyDescent="0.25">
      <c r="A35" s="194" t="s">
        <v>193</v>
      </c>
      <c r="B35" s="198" t="s">
        <v>776</v>
      </c>
      <c r="E35" s="194" t="s">
        <v>196</v>
      </c>
      <c r="G35" s="198" t="s">
        <v>200</v>
      </c>
    </row>
    <row r="36" spans="1:8" x14ac:dyDescent="0.25">
      <c r="A36" s="194" t="s">
        <v>207</v>
      </c>
      <c r="B36" s="198" t="s">
        <v>777</v>
      </c>
      <c r="E36" s="194" t="s">
        <v>197</v>
      </c>
      <c r="G36" s="198" t="s">
        <v>201</v>
      </c>
    </row>
    <row r="37" spans="1:8" x14ac:dyDescent="0.25">
      <c r="A37" s="194" t="s">
        <v>194</v>
      </c>
      <c r="B37" s="198" t="s">
        <v>528</v>
      </c>
      <c r="E37" s="194" t="s">
        <v>198</v>
      </c>
      <c r="F37" s="198" t="s">
        <v>202</v>
      </c>
      <c r="G37" s="194" t="s">
        <v>199</v>
      </c>
      <c r="H37" s="198" t="s">
        <v>203</v>
      </c>
    </row>
    <row r="38" spans="1:8" ht="16.5" thickBot="1" x14ac:dyDescent="0.3">
      <c r="A38" s="194" t="s">
        <v>195</v>
      </c>
      <c r="B38" s="198" t="s">
        <v>336</v>
      </c>
    </row>
    <row r="39" spans="1:8" ht="16.5" thickBot="1" x14ac:dyDescent="0.3">
      <c r="A39" s="972" t="s">
        <v>204</v>
      </c>
      <c r="B39" s="973"/>
      <c r="C39" s="973"/>
      <c r="D39" s="973"/>
      <c r="E39" s="973"/>
      <c r="F39" s="973"/>
      <c r="G39" s="973"/>
      <c r="H39" s="974"/>
    </row>
    <row r="40" spans="1:8" ht="72.75" customHeight="1" x14ac:dyDescent="0.25">
      <c r="A40" s="975" t="s">
        <v>210</v>
      </c>
      <c r="B40" s="975"/>
      <c r="C40" s="975"/>
      <c r="D40" s="975"/>
      <c r="E40" s="975"/>
      <c r="F40" s="975"/>
      <c r="G40" s="975"/>
      <c r="H40" s="975"/>
    </row>
    <row r="41" spans="1:8" ht="27" customHeight="1" x14ac:dyDescent="0.25">
      <c r="A41" s="223" t="s">
        <v>205</v>
      </c>
      <c r="B41" s="245"/>
      <c r="C41" s="245"/>
      <c r="D41" s="245"/>
      <c r="F41" s="223" t="s">
        <v>206</v>
      </c>
      <c r="G41" s="245"/>
      <c r="H41" s="245"/>
    </row>
    <row r="42" spans="1:8" ht="27" customHeight="1" x14ac:dyDescent="0.25">
      <c r="A42" s="223" t="s">
        <v>193</v>
      </c>
      <c r="B42" s="235" t="s">
        <v>776</v>
      </c>
      <c r="C42" s="234"/>
      <c r="D42" s="234"/>
      <c r="F42" s="223" t="s">
        <v>207</v>
      </c>
      <c r="G42" s="235" t="s">
        <v>775</v>
      </c>
      <c r="H42" s="235"/>
    </row>
  </sheetData>
  <mergeCells count="8">
    <mergeCell ref="A1:H1"/>
    <mergeCell ref="A39:H39"/>
    <mergeCell ref="A33:H33"/>
    <mergeCell ref="A40:H40"/>
    <mergeCell ref="A2:H2"/>
    <mergeCell ref="A5:H5"/>
    <mergeCell ref="A20:H20"/>
    <mergeCell ref="A30:H30"/>
  </mergeCells>
  <phoneticPr fontId="21" type="noConversion"/>
  <printOptions horizontalCentered="1"/>
  <pageMargins left="0.25" right="0.25" top="1.25" bottom="0.25" header="0.3" footer="0.3"/>
  <pageSetup orientation="portrait" r:id="rId1"/>
  <headerFooter alignWithMargins="0">
    <oddHeader>&amp;C&amp;"Arial,Bold"&amp;12DEPARTMENT OF CORRECTIONS
 COST OF CARE Year 2019
(Based on Fiscal Year 2018 Actuals)</oddHeader>
    <oddFooter>&amp;L&amp;8&amp;F &amp;A&amp;R&amp;8&amp;D &amp;T</oddFooter>
  </headerFooter>
  <rowBreaks count="1" manualBreakCount="1">
    <brk id="18" max="16383" man="1"/>
  </rowBreaks>
  <colBreaks count="1" manualBreakCount="1">
    <brk id="8"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G20"/>
  <sheetViews>
    <sheetView showGridLines="0" workbookViewId="0">
      <pane xSplit="1" ySplit="3" topLeftCell="B4" activePane="bottomRight" state="frozen"/>
      <selection activeCell="B35" sqref="B35"/>
      <selection pane="topRight" activeCell="B35" sqref="B35"/>
      <selection pane="bottomLeft" activeCell="B35" sqref="B35"/>
      <selection pane="bottomRight" activeCell="J12" sqref="J12"/>
    </sheetView>
  </sheetViews>
  <sheetFormatPr defaultColWidth="9.140625" defaultRowHeight="12.75" x14ac:dyDescent="0.2"/>
  <cols>
    <col min="1" max="1" width="21.28515625" style="179" bestFit="1" customWidth="1"/>
    <col min="2" max="3" width="18.85546875" style="179" bestFit="1" customWidth="1"/>
    <col min="4" max="4" width="17.5703125" style="179" bestFit="1" customWidth="1"/>
    <col min="5" max="5" width="19.5703125" style="179" customWidth="1"/>
    <col min="6" max="6" width="13.140625" style="179" customWidth="1"/>
    <col min="7" max="7" width="12.5703125" style="179" customWidth="1"/>
    <col min="8" max="16384" width="9.140625" style="179"/>
  </cols>
  <sheetData>
    <row r="1" spans="1:7" ht="15.75" x14ac:dyDescent="0.25">
      <c r="A1" s="979" t="s">
        <v>105</v>
      </c>
      <c r="B1" s="979"/>
      <c r="C1" s="979"/>
      <c r="D1" s="979"/>
      <c r="E1" s="979"/>
      <c r="F1" s="979"/>
      <c r="G1" s="979"/>
    </row>
    <row r="2" spans="1:7" ht="35.25" customHeight="1" thickBot="1" x14ac:dyDescent="0.25">
      <c r="A2" s="980" t="s">
        <v>104</v>
      </c>
      <c r="B2" s="980"/>
      <c r="C2" s="980"/>
      <c r="D2" s="980"/>
      <c r="E2" s="980"/>
      <c r="F2" s="980"/>
      <c r="G2" s="980"/>
    </row>
    <row r="3" spans="1:7" ht="33" thickTop="1" thickBot="1" x14ac:dyDescent="0.25">
      <c r="A3" s="252" t="s">
        <v>22</v>
      </c>
      <c r="B3" s="253" t="s">
        <v>106</v>
      </c>
      <c r="C3" s="252" t="s">
        <v>23</v>
      </c>
      <c r="D3" s="253" t="s">
        <v>107</v>
      </c>
      <c r="E3" s="836" t="s">
        <v>108</v>
      </c>
      <c r="F3" s="253" t="s">
        <v>27</v>
      </c>
      <c r="G3" s="253" t="s">
        <v>331</v>
      </c>
    </row>
    <row r="4" spans="1:7" ht="23.25" customHeight="1" thickTop="1" x14ac:dyDescent="0.25">
      <c r="A4" s="182" t="s">
        <v>294</v>
      </c>
      <c r="B4" s="191">
        <v>17150339.379999999</v>
      </c>
      <c r="C4" s="191">
        <v>10324493.18</v>
      </c>
      <c r="D4" s="191">
        <v>18090.64</v>
      </c>
      <c r="E4" s="837">
        <f>SUM(B4:D4)</f>
        <v>27492923.199999999</v>
      </c>
      <c r="F4" s="259">
        <v>248</v>
      </c>
      <c r="G4" s="254">
        <v>829</v>
      </c>
    </row>
    <row r="5" spans="1:7" ht="23.25" customHeight="1" x14ac:dyDescent="0.25">
      <c r="A5" s="182" t="s">
        <v>72</v>
      </c>
      <c r="B5" s="191">
        <v>3619767.92</v>
      </c>
      <c r="C5" s="191">
        <v>1996487.95</v>
      </c>
      <c r="D5" s="191">
        <v>3027.7</v>
      </c>
      <c r="E5" s="837">
        <f>SUM(B5:D5)</f>
        <v>5619283.5700000003</v>
      </c>
      <c r="F5" s="259">
        <v>40</v>
      </c>
      <c r="G5" s="254">
        <v>126</v>
      </c>
    </row>
    <row r="6" spans="1:7" ht="23.25" customHeight="1" x14ac:dyDescent="0.25">
      <c r="A6" s="182" t="s">
        <v>473</v>
      </c>
      <c r="B6" s="191">
        <v>7349730.0499999998</v>
      </c>
      <c r="C6" s="191">
        <v>4394977.09</v>
      </c>
      <c r="D6" s="191">
        <v>3588.19</v>
      </c>
      <c r="E6" s="837">
        <f t="shared" ref="E6:E16" si="0">SUM(B6:D6)</f>
        <v>11748295.33</v>
      </c>
      <c r="F6" s="259">
        <v>102</v>
      </c>
      <c r="G6" s="254">
        <v>395</v>
      </c>
    </row>
    <row r="7" spans="1:7" ht="23.25" customHeight="1" x14ac:dyDescent="0.25">
      <c r="A7" s="182" t="s">
        <v>24</v>
      </c>
      <c r="B7" s="191">
        <f>6353529.25-200</f>
        <v>6353329.25</v>
      </c>
      <c r="C7" s="191">
        <v>3735100.39</v>
      </c>
      <c r="D7" s="191">
        <v>7570.19</v>
      </c>
      <c r="E7" s="837">
        <f t="shared" si="0"/>
        <v>10095999.83</v>
      </c>
      <c r="F7" s="259">
        <v>89</v>
      </c>
      <c r="G7" s="254">
        <v>248</v>
      </c>
    </row>
    <row r="8" spans="1:7" ht="23.25" customHeight="1" x14ac:dyDescent="0.25">
      <c r="A8" s="182" t="s">
        <v>436</v>
      </c>
      <c r="B8" s="191">
        <v>18654225.440000001</v>
      </c>
      <c r="C8" s="191">
        <v>11986992.970000001</v>
      </c>
      <c r="D8" s="191">
        <v>23949.45</v>
      </c>
      <c r="E8" s="837">
        <f t="shared" si="0"/>
        <v>30665167.860000003</v>
      </c>
      <c r="F8" s="259">
        <v>329</v>
      </c>
      <c r="G8" s="254">
        <v>1408</v>
      </c>
    </row>
    <row r="9" spans="1:7" ht="23.25" customHeight="1" x14ac:dyDescent="0.25">
      <c r="A9" s="182" t="s">
        <v>15</v>
      </c>
      <c r="B9" s="191">
        <v>2491716.9900000002</v>
      </c>
      <c r="C9" s="191">
        <v>1515241.08</v>
      </c>
      <c r="D9" s="191">
        <v>2264.2600000000002</v>
      </c>
      <c r="E9" s="837">
        <f t="shared" si="0"/>
        <v>4009222.33</v>
      </c>
      <c r="F9" s="259">
        <v>35</v>
      </c>
      <c r="G9" s="254">
        <v>52</v>
      </c>
    </row>
    <row r="10" spans="1:7" ht="23.25" customHeight="1" x14ac:dyDescent="0.25">
      <c r="A10" s="182" t="s">
        <v>16</v>
      </c>
      <c r="B10" s="191">
        <v>5502645.7199999997</v>
      </c>
      <c r="C10" s="191">
        <v>3244308.86</v>
      </c>
      <c r="D10" s="191">
        <v>6279.18</v>
      </c>
      <c r="E10" s="837">
        <f t="shared" si="0"/>
        <v>8753233.7599999998</v>
      </c>
      <c r="F10" s="259">
        <v>75</v>
      </c>
      <c r="G10" s="254">
        <v>226</v>
      </c>
    </row>
    <row r="11" spans="1:7" ht="23.25" customHeight="1" x14ac:dyDescent="0.25">
      <c r="A11" s="182" t="s">
        <v>129</v>
      </c>
      <c r="B11" s="191">
        <v>3584292.45</v>
      </c>
      <c r="C11" s="191">
        <v>2153388.39</v>
      </c>
      <c r="D11" s="191">
        <v>17180.96</v>
      </c>
      <c r="E11" s="837">
        <f>SUM(B11:D11)</f>
        <v>5754861.7999999998</v>
      </c>
      <c r="F11" s="259">
        <v>49</v>
      </c>
      <c r="G11" s="254">
        <v>98</v>
      </c>
    </row>
    <row r="12" spans="1:7" ht="23.25" customHeight="1" x14ac:dyDescent="0.25">
      <c r="A12" s="182" t="s">
        <v>18</v>
      </c>
      <c r="B12" s="191">
        <v>67763.839999999997</v>
      </c>
      <c r="C12" s="191">
        <v>42838.32</v>
      </c>
      <c r="D12" s="191">
        <v>-15781.43</v>
      </c>
      <c r="E12" s="837">
        <f t="shared" si="0"/>
        <v>94820.73000000001</v>
      </c>
      <c r="F12" s="259">
        <v>1</v>
      </c>
      <c r="G12" s="254">
        <v>0</v>
      </c>
    </row>
    <row r="13" spans="1:7" ht="23.25" customHeight="1" x14ac:dyDescent="0.25">
      <c r="A13" s="182" t="s">
        <v>19</v>
      </c>
      <c r="B13" s="191">
        <v>11866090.24</v>
      </c>
      <c r="C13" s="191">
        <v>6920568.4900000002</v>
      </c>
      <c r="D13" s="191">
        <v>12146.34</v>
      </c>
      <c r="E13" s="837">
        <f t="shared" si="0"/>
        <v>18798805.07</v>
      </c>
      <c r="F13" s="259">
        <v>169</v>
      </c>
      <c r="G13" s="254">
        <v>535</v>
      </c>
    </row>
    <row r="14" spans="1:7" ht="23.25" customHeight="1" x14ac:dyDescent="0.25">
      <c r="A14" s="182" t="s">
        <v>25</v>
      </c>
      <c r="B14" s="191">
        <v>7787243.4100000001</v>
      </c>
      <c r="C14" s="191">
        <v>4725387.68</v>
      </c>
      <c r="D14" s="191">
        <v>5894.26</v>
      </c>
      <c r="E14" s="837">
        <f t="shared" si="0"/>
        <v>12518525.35</v>
      </c>
      <c r="F14" s="259">
        <v>116</v>
      </c>
      <c r="G14" s="254">
        <f>320+110</f>
        <v>430</v>
      </c>
    </row>
    <row r="15" spans="1:7" ht="23.25" customHeight="1" x14ac:dyDescent="0.25">
      <c r="A15" s="182" t="s">
        <v>73</v>
      </c>
      <c r="B15" s="191">
        <v>4996584.82</v>
      </c>
      <c r="C15" s="191">
        <v>2486369.5699999998</v>
      </c>
      <c r="D15" s="191">
        <v>64584.89</v>
      </c>
      <c r="E15" s="837">
        <f t="shared" si="0"/>
        <v>7547539.2800000003</v>
      </c>
      <c r="F15" s="259">
        <v>43</v>
      </c>
      <c r="G15" s="254">
        <v>189</v>
      </c>
    </row>
    <row r="16" spans="1:7" ht="23.25" customHeight="1" thickBot="1" x14ac:dyDescent="0.3">
      <c r="A16" s="182" t="s">
        <v>295</v>
      </c>
      <c r="B16" s="191">
        <v>1847025.17</v>
      </c>
      <c r="C16" s="191">
        <v>1094067.1000000001</v>
      </c>
      <c r="D16" s="191">
        <v>10055.77</v>
      </c>
      <c r="E16" s="837">
        <f t="shared" si="0"/>
        <v>2951148.04</v>
      </c>
      <c r="F16" s="260">
        <v>27</v>
      </c>
      <c r="G16" s="255">
        <v>128</v>
      </c>
    </row>
    <row r="17" spans="1:7" ht="23.25" customHeight="1" thickBot="1" x14ac:dyDescent="0.3">
      <c r="A17" s="256" t="s">
        <v>26</v>
      </c>
      <c r="B17" s="257">
        <f t="shared" ref="B17:G17" si="1">SUM(B4:B16)</f>
        <v>91270754.679999992</v>
      </c>
      <c r="C17" s="257">
        <f t="shared" si="1"/>
        <v>54620221.07</v>
      </c>
      <c r="D17" s="257">
        <f t="shared" si="1"/>
        <v>158850.4</v>
      </c>
      <c r="E17" s="838">
        <f>SUM(E4:E16)</f>
        <v>146049826.15000001</v>
      </c>
      <c r="F17" s="835">
        <f>SUM(F4:F16)</f>
        <v>1323</v>
      </c>
      <c r="G17" s="835">
        <f t="shared" si="1"/>
        <v>4664</v>
      </c>
    </row>
    <row r="18" spans="1:7" ht="16.5" thickTop="1" x14ac:dyDescent="0.25">
      <c r="A18" s="258"/>
    </row>
    <row r="19" spans="1:7" x14ac:dyDescent="0.2">
      <c r="A19" s="251" t="s">
        <v>826</v>
      </c>
      <c r="C19" s="226"/>
      <c r="D19" s="226"/>
    </row>
    <row r="20" spans="1:7" ht="15.75" x14ac:dyDescent="0.25">
      <c r="A20" s="198"/>
    </row>
  </sheetData>
  <mergeCells count="2">
    <mergeCell ref="A1:G1"/>
    <mergeCell ref="A2:G2"/>
  </mergeCells>
  <phoneticPr fontId="21" type="noConversion"/>
  <printOptions horizontalCentered="1" verticalCentered="1"/>
  <pageMargins left="0.25" right="0.25" top="0.75" bottom="0.75" header="0.3" footer="0.3"/>
  <pageSetup orientation="landscape" r:id="rId1"/>
  <headerFooter alignWithMargins="0">
    <oddHeader>&amp;C&amp;"Arial,Bold"&amp;12DEPARTMENT OF CORRECTIONS
 COST OF CARE Year 2019
(Based on Fiscal Year 2018 Actuals)</oddHeader>
    <oddFooter>&amp;L&amp;8&amp;F &amp;A&amp;R&amp;8&amp;D &amp;T</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H274"/>
  <sheetViews>
    <sheetView showGridLines="0" workbookViewId="0">
      <selection activeCell="G156" sqref="G156"/>
    </sheetView>
  </sheetViews>
  <sheetFormatPr defaultColWidth="9.140625" defaultRowHeight="15" x14ac:dyDescent="0.25"/>
  <cols>
    <col min="1" max="1" width="19.85546875" style="205" bestFit="1" customWidth="1"/>
    <col min="2" max="2" width="29.5703125" style="205" customWidth="1"/>
    <col min="3" max="3" width="13.42578125" style="205" customWidth="1"/>
    <col min="4" max="4" width="15.7109375" style="205" customWidth="1"/>
    <col min="5" max="5" width="18.28515625" style="205" customWidth="1"/>
    <col min="6" max="6" width="8.28515625" style="270" customWidth="1"/>
    <col min="7" max="7" width="22.140625" style="205" customWidth="1"/>
    <col min="8" max="8" width="15.28515625" style="205" customWidth="1"/>
    <col min="9" max="16384" width="9.140625" style="205"/>
  </cols>
  <sheetData>
    <row r="1" spans="1:7" s="330" customFormat="1" ht="22.5" customHeight="1" thickBot="1" x14ac:dyDescent="0.25">
      <c r="A1" s="981" t="s">
        <v>235</v>
      </c>
      <c r="B1" s="981"/>
      <c r="C1" s="981"/>
      <c r="D1" s="981"/>
      <c r="E1" s="981"/>
      <c r="F1" s="329"/>
    </row>
    <row r="2" spans="1:7" ht="30" customHeight="1" thickTop="1" thickBot="1" x14ac:dyDescent="0.3">
      <c r="A2" s="331" t="s">
        <v>1</v>
      </c>
      <c r="B2" s="332" t="s">
        <v>2</v>
      </c>
      <c r="C2" s="332" t="s">
        <v>3</v>
      </c>
      <c r="D2" s="332" t="s">
        <v>4</v>
      </c>
      <c r="E2" s="331" t="s">
        <v>5</v>
      </c>
      <c r="F2" s="271" t="s">
        <v>576</v>
      </c>
    </row>
    <row r="3" spans="1:7" ht="12.75" customHeight="1" thickTop="1" x14ac:dyDescent="0.25">
      <c r="A3" s="272" t="s">
        <v>294</v>
      </c>
      <c r="B3" s="273" t="s">
        <v>12</v>
      </c>
      <c r="C3" s="274" t="s">
        <v>296</v>
      </c>
      <c r="D3" s="275"/>
      <c r="E3" s="276" t="s">
        <v>0</v>
      </c>
      <c r="F3" s="270">
        <v>1027</v>
      </c>
    </row>
    <row r="4" spans="1:7" ht="12.75" customHeight="1" x14ac:dyDescent="0.25">
      <c r="A4" s="184"/>
      <c r="B4" s="277" t="s">
        <v>857</v>
      </c>
      <c r="C4" s="278">
        <v>6.13E-2</v>
      </c>
      <c r="D4" s="279"/>
      <c r="E4" s="280" t="s">
        <v>0</v>
      </c>
      <c r="F4" s="270">
        <v>1028</v>
      </c>
      <c r="G4" s="281"/>
    </row>
    <row r="5" spans="1:7" ht="12.75" customHeight="1" x14ac:dyDescent="0.25">
      <c r="A5" s="184"/>
      <c r="B5" s="277" t="s">
        <v>577</v>
      </c>
      <c r="C5" s="278">
        <v>0.22</v>
      </c>
      <c r="D5" s="279"/>
      <c r="E5" s="282" t="s">
        <v>0</v>
      </c>
      <c r="F5" s="270">
        <v>1029</v>
      </c>
    </row>
    <row r="6" spans="1:7" ht="12.75" customHeight="1" x14ac:dyDescent="0.25">
      <c r="A6" s="184"/>
      <c r="B6" s="277" t="s">
        <v>578</v>
      </c>
      <c r="C6" s="678" t="s">
        <v>103</v>
      </c>
      <c r="D6" s="279"/>
      <c r="E6" s="282" t="s">
        <v>0</v>
      </c>
      <c r="F6" s="270">
        <v>1030</v>
      </c>
    </row>
    <row r="7" spans="1:7" ht="12.75" customHeight="1" x14ac:dyDescent="0.25">
      <c r="A7" s="184"/>
      <c r="B7" s="277" t="s">
        <v>579</v>
      </c>
      <c r="C7" s="678" t="s">
        <v>103</v>
      </c>
      <c r="D7" s="279"/>
      <c r="E7" s="282" t="s">
        <v>0</v>
      </c>
      <c r="F7" s="270">
        <v>1034</v>
      </c>
    </row>
    <row r="8" spans="1:7" ht="12.75" customHeight="1" x14ac:dyDescent="0.25">
      <c r="A8" s="184"/>
      <c r="B8" s="277" t="s">
        <v>580</v>
      </c>
      <c r="C8" s="678" t="s">
        <v>103</v>
      </c>
      <c r="D8" s="279"/>
      <c r="E8" s="282" t="s">
        <v>0</v>
      </c>
      <c r="F8" s="270">
        <v>1035</v>
      </c>
    </row>
    <row r="9" spans="1:7" ht="12.75" customHeight="1" x14ac:dyDescent="0.25">
      <c r="A9" s="184"/>
      <c r="B9" s="277" t="s">
        <v>581</v>
      </c>
      <c r="C9" s="679" t="s">
        <v>103</v>
      </c>
      <c r="D9" s="279"/>
      <c r="E9" s="282" t="s">
        <v>0</v>
      </c>
      <c r="F9" s="270">
        <v>1037</v>
      </c>
    </row>
    <row r="10" spans="1:7" ht="12.75" customHeight="1" x14ac:dyDescent="0.25">
      <c r="A10" s="184"/>
      <c r="B10" s="277" t="s">
        <v>8</v>
      </c>
      <c r="C10" s="278">
        <v>4.0000000000000001E-3</v>
      </c>
      <c r="D10" s="279"/>
      <c r="E10" s="282" t="s">
        <v>0</v>
      </c>
      <c r="F10" s="270">
        <v>1039</v>
      </c>
    </row>
    <row r="11" spans="1:7" ht="12.75" customHeight="1" x14ac:dyDescent="0.25">
      <c r="A11" s="184"/>
      <c r="B11" s="277" t="s">
        <v>9</v>
      </c>
      <c r="C11" s="567" t="s">
        <v>858</v>
      </c>
      <c r="D11" s="279"/>
      <c r="E11" s="282" t="s">
        <v>0</v>
      </c>
      <c r="F11" s="270">
        <v>1040</v>
      </c>
    </row>
    <row r="12" spans="1:7" ht="12.75" customHeight="1" x14ac:dyDescent="0.25">
      <c r="A12" s="184"/>
      <c r="B12" s="277" t="s">
        <v>582</v>
      </c>
      <c r="C12" s="284" t="s">
        <v>320</v>
      </c>
      <c r="D12" s="279"/>
      <c r="E12" s="282"/>
      <c r="F12" s="270">
        <v>1041</v>
      </c>
    </row>
    <row r="13" spans="1:7" ht="12.75" customHeight="1" x14ac:dyDescent="0.25">
      <c r="A13" s="184"/>
      <c r="B13" s="277" t="s">
        <v>583</v>
      </c>
      <c r="C13" s="278">
        <v>4.1200000000000001E-2</v>
      </c>
      <c r="D13" s="279"/>
      <c r="E13" s="282"/>
      <c r="F13" s="270">
        <v>1042</v>
      </c>
    </row>
    <row r="14" spans="1:7" ht="12.75" customHeight="1" x14ac:dyDescent="0.25">
      <c r="A14" s="184"/>
      <c r="B14" s="277" t="s">
        <v>584</v>
      </c>
      <c r="C14" s="278">
        <v>2.3099999999999999E-2</v>
      </c>
      <c r="D14" s="279"/>
      <c r="E14" s="282" t="s">
        <v>0</v>
      </c>
      <c r="F14" s="270">
        <v>1047</v>
      </c>
    </row>
    <row r="15" spans="1:7" ht="12.75" customHeight="1" x14ac:dyDescent="0.25">
      <c r="A15" s="184"/>
      <c r="B15" s="277" t="s">
        <v>585</v>
      </c>
      <c r="C15" s="278">
        <v>1.2E-2</v>
      </c>
      <c r="D15" s="279"/>
      <c r="E15" s="282" t="s">
        <v>0</v>
      </c>
      <c r="F15" s="270">
        <v>1048</v>
      </c>
    </row>
    <row r="16" spans="1:7" ht="12.75" customHeight="1" x14ac:dyDescent="0.25">
      <c r="A16" s="184"/>
      <c r="B16" s="277" t="s">
        <v>586</v>
      </c>
      <c r="C16" s="283" t="s">
        <v>335</v>
      </c>
      <c r="D16" s="275"/>
      <c r="E16" s="282"/>
      <c r="F16" s="270">
        <v>1049</v>
      </c>
    </row>
    <row r="17" spans="1:8" ht="12.75" customHeight="1" x14ac:dyDescent="0.25">
      <c r="A17" s="184"/>
      <c r="B17" s="285" t="s">
        <v>437</v>
      </c>
      <c r="C17" s="283"/>
      <c r="D17" s="275"/>
      <c r="E17" s="280"/>
    </row>
    <row r="18" spans="1:8" ht="12.75" customHeight="1" x14ac:dyDescent="0.25">
      <c r="A18" s="184"/>
      <c r="B18" s="277" t="s">
        <v>587</v>
      </c>
      <c r="C18" s="278">
        <v>1.4500000000000001E-2</v>
      </c>
      <c r="D18" s="279"/>
      <c r="E18" s="286"/>
      <c r="F18" s="270">
        <v>1053</v>
      </c>
    </row>
    <row r="19" spans="1:8" ht="12.75" customHeight="1" x14ac:dyDescent="0.25">
      <c r="A19" s="184"/>
      <c r="B19" s="287" t="s">
        <v>107</v>
      </c>
      <c r="C19" s="288"/>
      <c r="D19" s="289"/>
      <c r="E19" s="206"/>
      <c r="F19" s="270">
        <v>1004</v>
      </c>
      <c r="G19" s="681" t="s">
        <v>588</v>
      </c>
    </row>
    <row r="20" spans="1:8" ht="12.75" customHeight="1" thickBot="1" x14ac:dyDescent="0.3">
      <c r="A20" s="184"/>
      <c r="B20" s="287"/>
      <c r="C20" s="290"/>
      <c r="D20" s="291"/>
      <c r="E20" s="680">
        <v>10342583.82</v>
      </c>
      <c r="G20" s="236">
        <f>'Sched-B1'!C4+'Sched-B1'!D4</f>
        <v>10342583.82</v>
      </c>
      <c r="H20" s="236">
        <f>E20-G20</f>
        <v>0</v>
      </c>
    </row>
    <row r="21" spans="1:8" ht="12.75" customHeight="1" thickTop="1" x14ac:dyDescent="0.25">
      <c r="A21" s="272" t="s">
        <v>72</v>
      </c>
      <c r="B21" s="273" t="s">
        <v>12</v>
      </c>
      <c r="C21" s="274" t="s">
        <v>296</v>
      </c>
      <c r="D21" s="275">
        <v>0</v>
      </c>
      <c r="E21" s="276" t="s">
        <v>0</v>
      </c>
    </row>
    <row r="22" spans="1:8" ht="12.75" customHeight="1" x14ac:dyDescent="0.25">
      <c r="A22" s="184"/>
      <c r="B22" s="277" t="s">
        <v>857</v>
      </c>
      <c r="C22" s="278">
        <v>6.13E-2</v>
      </c>
      <c r="D22" s="279"/>
      <c r="E22" s="280" t="s">
        <v>0</v>
      </c>
    </row>
    <row r="23" spans="1:8" ht="12.75" customHeight="1" x14ac:dyDescent="0.25">
      <c r="A23" s="184"/>
      <c r="B23" s="277" t="s">
        <v>577</v>
      </c>
      <c r="C23" s="278">
        <v>0.22</v>
      </c>
      <c r="D23" s="279"/>
      <c r="E23" s="282" t="s">
        <v>0</v>
      </c>
    </row>
    <row r="24" spans="1:8" ht="12.75" customHeight="1" x14ac:dyDescent="0.25">
      <c r="A24" s="184"/>
      <c r="B24" s="277" t="s">
        <v>578</v>
      </c>
      <c r="C24" s="678" t="s">
        <v>103</v>
      </c>
      <c r="D24" s="279"/>
      <c r="E24" s="282" t="s">
        <v>0</v>
      </c>
    </row>
    <row r="25" spans="1:8" ht="12.75" customHeight="1" x14ac:dyDescent="0.25">
      <c r="A25" s="184"/>
      <c r="B25" s="277" t="s">
        <v>579</v>
      </c>
      <c r="C25" s="678" t="s">
        <v>103</v>
      </c>
      <c r="D25" s="279"/>
      <c r="E25" s="282" t="s">
        <v>0</v>
      </c>
    </row>
    <row r="26" spans="1:8" ht="12.75" customHeight="1" x14ac:dyDescent="0.25">
      <c r="A26" s="184"/>
      <c r="B26" s="277" t="s">
        <v>580</v>
      </c>
      <c r="C26" s="678" t="s">
        <v>103</v>
      </c>
      <c r="D26" s="279"/>
      <c r="E26" s="282" t="s">
        <v>0</v>
      </c>
    </row>
    <row r="27" spans="1:8" ht="12.75" customHeight="1" x14ac:dyDescent="0.25">
      <c r="A27" s="184"/>
      <c r="B27" s="277" t="s">
        <v>581</v>
      </c>
      <c r="C27" s="678" t="s">
        <v>103</v>
      </c>
      <c r="D27" s="279"/>
      <c r="E27" s="282" t="s">
        <v>0</v>
      </c>
    </row>
    <row r="28" spans="1:8" ht="12.75" customHeight="1" x14ac:dyDescent="0.25">
      <c r="A28" s="184"/>
      <c r="B28" s="277" t="s">
        <v>8</v>
      </c>
      <c r="C28" s="278">
        <f>C10</f>
        <v>4.0000000000000001E-3</v>
      </c>
      <c r="D28" s="279"/>
      <c r="E28" s="282" t="s">
        <v>0</v>
      </c>
    </row>
    <row r="29" spans="1:8" ht="12.75" customHeight="1" x14ac:dyDescent="0.25">
      <c r="A29" s="184"/>
      <c r="B29" s="277" t="s">
        <v>9</v>
      </c>
      <c r="C29" s="567" t="str">
        <f>C11</f>
        <v>$1482.75/mo</v>
      </c>
      <c r="D29" s="279"/>
      <c r="E29" s="282" t="s">
        <v>0</v>
      </c>
    </row>
    <row r="30" spans="1:8" ht="12.75" customHeight="1" x14ac:dyDescent="0.25">
      <c r="A30" s="184"/>
      <c r="B30" s="277" t="s">
        <v>7</v>
      </c>
      <c r="C30" s="284" t="s">
        <v>320</v>
      </c>
      <c r="D30" s="279"/>
      <c r="E30" s="282"/>
    </row>
    <row r="31" spans="1:8" ht="12.75" customHeight="1" x14ac:dyDescent="0.25">
      <c r="A31" s="184"/>
      <c r="B31" s="277" t="s">
        <v>10</v>
      </c>
      <c r="C31" s="278">
        <f>C13</f>
        <v>4.1200000000000001E-2</v>
      </c>
      <c r="D31" s="279"/>
      <c r="E31" s="282"/>
    </row>
    <row r="32" spans="1:8" ht="12.75" customHeight="1" x14ac:dyDescent="0.25">
      <c r="A32" s="184"/>
      <c r="B32" s="277" t="s">
        <v>14</v>
      </c>
      <c r="C32" s="278">
        <f>C14</f>
        <v>2.3099999999999999E-2</v>
      </c>
      <c r="D32" s="279"/>
      <c r="E32" s="282" t="s">
        <v>0</v>
      </c>
    </row>
    <row r="33" spans="1:8" ht="12.75" customHeight="1" x14ac:dyDescent="0.25">
      <c r="A33" s="184"/>
      <c r="B33" s="277" t="s">
        <v>11</v>
      </c>
      <c r="C33" s="278">
        <f>C15</f>
        <v>1.2E-2</v>
      </c>
      <c r="D33" s="279"/>
      <c r="E33" s="282" t="s">
        <v>0</v>
      </c>
    </row>
    <row r="34" spans="1:8" ht="12.75" customHeight="1" x14ac:dyDescent="0.25">
      <c r="A34" s="184"/>
      <c r="B34" s="285" t="s">
        <v>213</v>
      </c>
      <c r="C34" s="283" t="str">
        <f>C16</f>
        <v>$8.00/mo</v>
      </c>
      <c r="D34" s="279"/>
      <c r="E34" s="282"/>
    </row>
    <row r="35" spans="1:8" ht="12.75" customHeight="1" x14ac:dyDescent="0.25">
      <c r="A35" s="184"/>
      <c r="B35" s="277" t="s">
        <v>587</v>
      </c>
      <c r="C35" s="278">
        <f>C18</f>
        <v>1.4500000000000001E-2</v>
      </c>
      <c r="D35" s="279"/>
      <c r="E35" s="286"/>
    </row>
    <row r="36" spans="1:8" ht="12.75" customHeight="1" x14ac:dyDescent="0.25">
      <c r="A36" s="184"/>
      <c r="B36" s="287" t="s">
        <v>107</v>
      </c>
      <c r="C36" s="288"/>
      <c r="D36" s="289"/>
      <c r="E36" s="206"/>
      <c r="G36" s="236"/>
    </row>
    <row r="37" spans="1:8" ht="12.75" customHeight="1" thickBot="1" x14ac:dyDescent="0.3">
      <c r="A37" s="184"/>
      <c r="B37" s="287"/>
      <c r="C37" s="290"/>
      <c r="D37" s="291"/>
      <c r="E37" s="680">
        <v>1999515.65</v>
      </c>
      <c r="G37" s="236">
        <f>'Sched-B1'!C5+'Sched-B1'!D5</f>
        <v>1999515.65</v>
      </c>
      <c r="H37" s="236">
        <f>E37-G37</f>
        <v>0</v>
      </c>
    </row>
    <row r="38" spans="1:8" ht="12.75" customHeight="1" thickTop="1" x14ac:dyDescent="0.25">
      <c r="A38" s="272" t="s">
        <v>13</v>
      </c>
      <c r="B38" s="273" t="s">
        <v>12</v>
      </c>
      <c r="C38" s="274" t="s">
        <v>296</v>
      </c>
      <c r="D38" s="275"/>
      <c r="E38" s="276" t="s">
        <v>0</v>
      </c>
    </row>
    <row r="39" spans="1:8" ht="12.75" customHeight="1" x14ac:dyDescent="0.25">
      <c r="A39" s="184"/>
      <c r="B39" s="277" t="s">
        <v>857</v>
      </c>
      <c r="C39" s="278">
        <v>6.13E-2</v>
      </c>
      <c r="D39" s="279"/>
      <c r="E39" s="280" t="s">
        <v>0</v>
      </c>
    </row>
    <row r="40" spans="1:8" ht="12.75" customHeight="1" x14ac:dyDescent="0.25">
      <c r="A40" s="184"/>
      <c r="B40" s="277" t="s">
        <v>577</v>
      </c>
      <c r="C40" s="278">
        <f>C5</f>
        <v>0.22</v>
      </c>
      <c r="D40" s="279"/>
      <c r="E40" s="282" t="s">
        <v>0</v>
      </c>
    </row>
    <row r="41" spans="1:8" ht="12.75" customHeight="1" x14ac:dyDescent="0.25">
      <c r="A41" s="184"/>
      <c r="B41" s="277" t="s">
        <v>578</v>
      </c>
      <c r="C41" s="678" t="s">
        <v>103</v>
      </c>
      <c r="D41" s="279"/>
      <c r="E41" s="282" t="s">
        <v>0</v>
      </c>
    </row>
    <row r="42" spans="1:8" ht="12.75" customHeight="1" x14ac:dyDescent="0.25">
      <c r="A42" s="184"/>
      <c r="B42" s="277" t="s">
        <v>579</v>
      </c>
      <c r="C42" s="678" t="s">
        <v>103</v>
      </c>
      <c r="D42" s="279"/>
      <c r="E42" s="282" t="s">
        <v>0</v>
      </c>
    </row>
    <row r="43" spans="1:8" ht="12.75" customHeight="1" x14ac:dyDescent="0.25">
      <c r="A43" s="184"/>
      <c r="B43" s="277" t="s">
        <v>580</v>
      </c>
      <c r="C43" s="678" t="s">
        <v>103</v>
      </c>
      <c r="D43" s="279"/>
      <c r="E43" s="282" t="s">
        <v>0</v>
      </c>
    </row>
    <row r="44" spans="1:8" ht="12.75" customHeight="1" x14ac:dyDescent="0.25">
      <c r="A44" s="184"/>
      <c r="B44" s="277" t="s">
        <v>581</v>
      </c>
      <c r="C44" s="678" t="s">
        <v>103</v>
      </c>
      <c r="D44" s="279"/>
      <c r="E44" s="282" t="s">
        <v>0</v>
      </c>
    </row>
    <row r="45" spans="1:8" ht="12.75" customHeight="1" x14ac:dyDescent="0.25">
      <c r="A45" s="184"/>
      <c r="B45" s="277" t="s">
        <v>8</v>
      </c>
      <c r="C45" s="278">
        <f>C10</f>
        <v>4.0000000000000001E-3</v>
      </c>
      <c r="D45" s="279"/>
      <c r="E45" s="282" t="s">
        <v>0</v>
      </c>
    </row>
    <row r="46" spans="1:8" ht="12.75" customHeight="1" x14ac:dyDescent="0.25">
      <c r="A46" s="184"/>
      <c r="B46" s="277" t="s">
        <v>9</v>
      </c>
      <c r="C46" s="567" t="str">
        <f>C11</f>
        <v>$1482.75/mo</v>
      </c>
      <c r="D46" s="279"/>
      <c r="E46" s="282" t="s">
        <v>0</v>
      </c>
    </row>
    <row r="47" spans="1:8" ht="12.75" customHeight="1" x14ac:dyDescent="0.25">
      <c r="A47" s="184"/>
      <c r="B47" s="277" t="s">
        <v>7</v>
      </c>
      <c r="C47" s="284" t="s">
        <v>320</v>
      </c>
      <c r="D47" s="279"/>
      <c r="E47" s="282"/>
    </row>
    <row r="48" spans="1:8" ht="12.75" customHeight="1" x14ac:dyDescent="0.25">
      <c r="A48" s="184"/>
      <c r="B48" s="277" t="s">
        <v>10</v>
      </c>
      <c r="C48" s="278">
        <f>C13</f>
        <v>4.1200000000000001E-2</v>
      </c>
      <c r="D48" s="279"/>
      <c r="E48" s="282" t="s">
        <v>0</v>
      </c>
    </row>
    <row r="49" spans="1:8" ht="12.75" customHeight="1" x14ac:dyDescent="0.25">
      <c r="A49" s="184"/>
      <c r="B49" s="277" t="s">
        <v>14</v>
      </c>
      <c r="C49" s="278">
        <f>C14</f>
        <v>2.3099999999999999E-2</v>
      </c>
      <c r="D49" s="279"/>
      <c r="E49" s="282"/>
    </row>
    <row r="50" spans="1:8" ht="12.75" customHeight="1" x14ac:dyDescent="0.25">
      <c r="A50" s="184"/>
      <c r="B50" s="277" t="s">
        <v>11</v>
      </c>
      <c r="C50" s="278">
        <f>C15</f>
        <v>1.2E-2</v>
      </c>
      <c r="D50" s="279"/>
      <c r="E50" s="282"/>
    </row>
    <row r="51" spans="1:8" ht="12.75" customHeight="1" x14ac:dyDescent="0.25">
      <c r="A51" s="184"/>
      <c r="B51" s="285" t="s">
        <v>213</v>
      </c>
      <c r="C51" s="283" t="s">
        <v>335</v>
      </c>
      <c r="D51" s="279"/>
      <c r="E51" s="282"/>
    </row>
    <row r="52" spans="1:8" ht="12.75" customHeight="1" x14ac:dyDescent="0.25">
      <c r="A52" s="184"/>
      <c r="B52" s="277" t="s">
        <v>587</v>
      </c>
      <c r="C52" s="278">
        <f>C18</f>
        <v>1.4500000000000001E-2</v>
      </c>
      <c r="D52" s="292"/>
      <c r="E52" s="293"/>
    </row>
    <row r="53" spans="1:8" ht="12.75" customHeight="1" x14ac:dyDescent="0.25">
      <c r="A53" s="184"/>
      <c r="B53" s="287" t="s">
        <v>107</v>
      </c>
      <c r="C53" s="294"/>
      <c r="D53" s="292"/>
      <c r="E53" s="184"/>
      <c r="G53" s="236"/>
    </row>
    <row r="54" spans="1:8" ht="12.75" customHeight="1" x14ac:dyDescent="0.25">
      <c r="A54" s="184"/>
      <c r="B54" s="287"/>
      <c r="C54" s="274"/>
      <c r="D54" s="292"/>
      <c r="E54" s="680">
        <v>4398565.28</v>
      </c>
      <c r="G54" s="236">
        <f>'Sched-B1'!C6+'Sched-B1'!D6</f>
        <v>4398565.28</v>
      </c>
      <c r="H54" s="295">
        <f>E54-G54</f>
        <v>0</v>
      </c>
    </row>
    <row r="55" spans="1:8" ht="12.75" customHeight="1" x14ac:dyDescent="0.25">
      <c r="A55" s="272" t="s">
        <v>24</v>
      </c>
      <c r="B55" s="296" t="s">
        <v>12</v>
      </c>
      <c r="C55" s="274" t="s">
        <v>296</v>
      </c>
      <c r="D55" s="292"/>
      <c r="E55" s="282" t="s">
        <v>0</v>
      </c>
    </row>
    <row r="56" spans="1:8" ht="12.75" customHeight="1" x14ac:dyDescent="0.25">
      <c r="A56" s="184"/>
      <c r="B56" s="277" t="s">
        <v>857</v>
      </c>
      <c r="C56" s="278">
        <v>6.13E-2</v>
      </c>
      <c r="D56" s="292"/>
      <c r="E56" s="282"/>
    </row>
    <row r="57" spans="1:8" ht="12.75" customHeight="1" x14ac:dyDescent="0.25">
      <c r="A57" s="184"/>
      <c r="B57" s="277" t="s">
        <v>577</v>
      </c>
      <c r="C57" s="278">
        <v>0.22</v>
      </c>
      <c r="D57" s="292"/>
      <c r="E57" s="282"/>
    </row>
    <row r="58" spans="1:8" ht="12.75" customHeight="1" x14ac:dyDescent="0.25">
      <c r="A58" s="272"/>
      <c r="B58" s="277" t="s">
        <v>578</v>
      </c>
      <c r="C58" s="678" t="s">
        <v>103</v>
      </c>
      <c r="D58" s="279"/>
      <c r="E58" s="282" t="s">
        <v>0</v>
      </c>
    </row>
    <row r="59" spans="1:8" ht="12.75" customHeight="1" x14ac:dyDescent="0.25">
      <c r="A59" s="184"/>
      <c r="B59" s="277" t="s">
        <v>579</v>
      </c>
      <c r="C59" s="678" t="s">
        <v>103</v>
      </c>
      <c r="D59" s="279"/>
      <c r="E59" s="282" t="s">
        <v>0</v>
      </c>
    </row>
    <row r="60" spans="1:8" ht="12.75" customHeight="1" x14ac:dyDescent="0.25">
      <c r="A60" s="184"/>
      <c r="B60" s="277" t="s">
        <v>580</v>
      </c>
      <c r="C60" s="678" t="s">
        <v>103</v>
      </c>
      <c r="D60" s="279"/>
      <c r="E60" s="282" t="s">
        <v>0</v>
      </c>
    </row>
    <row r="61" spans="1:8" ht="12.75" customHeight="1" x14ac:dyDescent="0.25">
      <c r="A61" s="184"/>
      <c r="B61" s="277" t="s">
        <v>581</v>
      </c>
      <c r="C61" s="678" t="s">
        <v>103</v>
      </c>
      <c r="D61" s="279"/>
      <c r="E61" s="282" t="s">
        <v>0</v>
      </c>
    </row>
    <row r="62" spans="1:8" ht="12.75" customHeight="1" x14ac:dyDescent="0.25">
      <c r="A62" s="184"/>
      <c r="B62" s="296" t="s">
        <v>8</v>
      </c>
      <c r="C62" s="278">
        <v>3.5999999999999999E-3</v>
      </c>
      <c r="D62" s="292"/>
      <c r="E62" s="282"/>
    </row>
    <row r="63" spans="1:8" ht="12.75" customHeight="1" x14ac:dyDescent="0.25">
      <c r="A63" s="184"/>
      <c r="B63" s="296" t="s">
        <v>9</v>
      </c>
      <c r="C63" s="567" t="str">
        <f>C11</f>
        <v>$1482.75/mo</v>
      </c>
      <c r="D63" s="292"/>
      <c r="E63" s="282"/>
    </row>
    <row r="64" spans="1:8" ht="12.75" customHeight="1" x14ac:dyDescent="0.25">
      <c r="A64" s="184"/>
      <c r="B64" s="296" t="s">
        <v>7</v>
      </c>
      <c r="C64" s="284" t="s">
        <v>320</v>
      </c>
      <c r="D64" s="292"/>
      <c r="E64" s="282"/>
    </row>
    <row r="65" spans="1:8" ht="12.75" customHeight="1" x14ac:dyDescent="0.25">
      <c r="A65" s="184"/>
      <c r="B65" s="296" t="s">
        <v>10</v>
      </c>
      <c r="C65" s="278">
        <f>C13</f>
        <v>4.1200000000000001E-2</v>
      </c>
      <c r="D65" s="292"/>
      <c r="E65" s="282"/>
    </row>
    <row r="66" spans="1:8" ht="12.75" customHeight="1" x14ac:dyDescent="0.25">
      <c r="A66" s="184"/>
      <c r="B66" s="296" t="s">
        <v>14</v>
      </c>
      <c r="C66" s="278">
        <f>C14</f>
        <v>2.3099999999999999E-2</v>
      </c>
      <c r="D66" s="292"/>
      <c r="E66" s="282"/>
    </row>
    <row r="67" spans="1:8" ht="12.75" customHeight="1" x14ac:dyDescent="0.25">
      <c r="A67" s="184"/>
      <c r="B67" s="296" t="s">
        <v>11</v>
      </c>
      <c r="C67" s="278">
        <f>C15</f>
        <v>1.2E-2</v>
      </c>
      <c r="D67" s="292"/>
      <c r="E67" s="282"/>
    </row>
    <row r="68" spans="1:8" ht="12.75" customHeight="1" x14ac:dyDescent="0.25">
      <c r="A68" s="184"/>
      <c r="B68" s="184" t="s">
        <v>213</v>
      </c>
      <c r="C68" s="283" t="s">
        <v>335</v>
      </c>
      <c r="D68" s="292"/>
      <c r="E68" s="282"/>
    </row>
    <row r="69" spans="1:8" ht="12.75" customHeight="1" x14ac:dyDescent="0.25">
      <c r="A69" s="184"/>
      <c r="B69" s="277" t="s">
        <v>587</v>
      </c>
      <c r="C69" s="278">
        <v>1.4500000000000001E-2</v>
      </c>
      <c r="D69" s="292"/>
      <c r="E69" s="282"/>
    </row>
    <row r="70" spans="1:8" ht="12.75" customHeight="1" x14ac:dyDescent="0.25">
      <c r="A70" s="184"/>
      <c r="B70" s="296" t="s">
        <v>107</v>
      </c>
      <c r="C70" s="288"/>
      <c r="D70" s="292"/>
      <c r="E70" s="282"/>
      <c r="G70" s="236"/>
    </row>
    <row r="71" spans="1:8" ht="12.75" customHeight="1" x14ac:dyDescent="0.25">
      <c r="A71" s="184"/>
      <c r="B71" s="296"/>
      <c r="C71" s="297"/>
      <c r="D71" s="207"/>
      <c r="E71" s="680">
        <v>3742670.58</v>
      </c>
      <c r="G71" s="236">
        <f>'Sched-B1'!C7+'Sched-B1'!D7</f>
        <v>3742670.58</v>
      </c>
      <c r="H71" s="236">
        <f>E71-G71</f>
        <v>0</v>
      </c>
    </row>
    <row r="72" spans="1:8" ht="12.75" customHeight="1" x14ac:dyDescent="0.25">
      <c r="A72" s="272" t="s">
        <v>436</v>
      </c>
      <c r="B72" s="296" t="s">
        <v>12</v>
      </c>
      <c r="C72" s="274" t="s">
        <v>296</v>
      </c>
      <c r="D72" s="292">
        <v>0</v>
      </c>
      <c r="E72" s="282" t="s">
        <v>0</v>
      </c>
    </row>
    <row r="73" spans="1:8" ht="12.75" customHeight="1" x14ac:dyDescent="0.25">
      <c r="A73" s="184"/>
      <c r="B73" s="277" t="s">
        <v>857</v>
      </c>
      <c r="C73" s="278">
        <v>6.13E-2</v>
      </c>
      <c r="D73" s="292"/>
      <c r="E73" s="282"/>
    </row>
    <row r="74" spans="1:8" ht="12.75" customHeight="1" x14ac:dyDescent="0.25">
      <c r="A74" s="184"/>
      <c r="B74" s="277" t="s">
        <v>577</v>
      </c>
      <c r="C74" s="278">
        <v>0.22</v>
      </c>
      <c r="D74" s="292"/>
      <c r="E74" s="282"/>
    </row>
    <row r="75" spans="1:8" ht="12.75" customHeight="1" x14ac:dyDescent="0.25">
      <c r="A75" s="184"/>
      <c r="B75" s="277" t="s">
        <v>578</v>
      </c>
      <c r="C75" s="678" t="s">
        <v>103</v>
      </c>
      <c r="D75" s="279"/>
      <c r="E75" s="282" t="s">
        <v>0</v>
      </c>
    </row>
    <row r="76" spans="1:8" ht="12.75" customHeight="1" x14ac:dyDescent="0.25">
      <c r="A76" s="184"/>
      <c r="B76" s="277" t="s">
        <v>579</v>
      </c>
      <c r="C76" s="678" t="s">
        <v>103</v>
      </c>
      <c r="D76" s="279"/>
      <c r="E76" s="282" t="s">
        <v>0</v>
      </c>
    </row>
    <row r="77" spans="1:8" ht="12.75" customHeight="1" x14ac:dyDescent="0.25">
      <c r="A77" s="184"/>
      <c r="B77" s="277" t="s">
        <v>580</v>
      </c>
      <c r="C77" s="678" t="s">
        <v>103</v>
      </c>
      <c r="D77" s="279"/>
      <c r="E77" s="282" t="s">
        <v>0</v>
      </c>
    </row>
    <row r="78" spans="1:8" ht="12.75" customHeight="1" x14ac:dyDescent="0.25">
      <c r="A78" s="184"/>
      <c r="B78" s="277" t="s">
        <v>581</v>
      </c>
      <c r="C78" s="678" t="s">
        <v>103</v>
      </c>
      <c r="D78" s="279"/>
      <c r="E78" s="282" t="s">
        <v>0</v>
      </c>
    </row>
    <row r="79" spans="1:8" ht="12.75" customHeight="1" x14ac:dyDescent="0.25">
      <c r="A79" s="184"/>
      <c r="B79" s="296" t="s">
        <v>8</v>
      </c>
      <c r="C79" s="278">
        <v>3.5999999999999999E-3</v>
      </c>
      <c r="D79" s="292"/>
      <c r="E79" s="282"/>
    </row>
    <row r="80" spans="1:8" ht="12.75" customHeight="1" x14ac:dyDescent="0.25">
      <c r="A80" s="184"/>
      <c r="B80" s="296" t="s">
        <v>9</v>
      </c>
      <c r="C80" s="567" t="str">
        <f>C11</f>
        <v>$1482.75/mo</v>
      </c>
      <c r="D80" s="292"/>
      <c r="E80" s="282"/>
    </row>
    <row r="81" spans="1:8" ht="12.75" customHeight="1" x14ac:dyDescent="0.25">
      <c r="A81" s="184"/>
      <c r="B81" s="296" t="s">
        <v>7</v>
      </c>
      <c r="C81" s="284" t="s">
        <v>320</v>
      </c>
      <c r="D81" s="292"/>
      <c r="E81" s="282"/>
    </row>
    <row r="82" spans="1:8" ht="12.75" customHeight="1" x14ac:dyDescent="0.25">
      <c r="A82" s="184"/>
      <c r="B82" s="296" t="s">
        <v>10</v>
      </c>
      <c r="C82" s="278">
        <f>C13</f>
        <v>4.1200000000000001E-2</v>
      </c>
      <c r="D82" s="292"/>
      <c r="E82" s="282"/>
    </row>
    <row r="83" spans="1:8" ht="12.75" customHeight="1" x14ac:dyDescent="0.25">
      <c r="A83" s="184"/>
      <c r="B83" s="296" t="s">
        <v>14</v>
      </c>
      <c r="C83" s="278">
        <f>C14</f>
        <v>2.3099999999999999E-2</v>
      </c>
      <c r="D83" s="292"/>
      <c r="E83" s="282"/>
    </row>
    <row r="84" spans="1:8" ht="12.75" customHeight="1" x14ac:dyDescent="0.25">
      <c r="A84" s="184"/>
      <c r="B84" s="296" t="s">
        <v>11</v>
      </c>
      <c r="C84" s="278">
        <f>C15</f>
        <v>1.2E-2</v>
      </c>
      <c r="D84" s="292"/>
      <c r="E84" s="282"/>
    </row>
    <row r="85" spans="1:8" ht="12.75" customHeight="1" x14ac:dyDescent="0.25">
      <c r="A85" s="184"/>
      <c r="B85" s="184" t="s">
        <v>213</v>
      </c>
      <c r="C85" s="283" t="s">
        <v>335</v>
      </c>
      <c r="D85" s="292"/>
      <c r="E85" s="282"/>
    </row>
    <row r="86" spans="1:8" ht="12.75" customHeight="1" x14ac:dyDescent="0.25">
      <c r="A86" s="184"/>
      <c r="B86" s="277" t="s">
        <v>587</v>
      </c>
      <c r="C86" s="278">
        <v>1.4500000000000001E-2</v>
      </c>
      <c r="D86" s="292"/>
      <c r="E86" s="282"/>
    </row>
    <row r="87" spans="1:8" ht="12.75" customHeight="1" x14ac:dyDescent="0.25">
      <c r="A87" s="184"/>
      <c r="B87" s="296" t="s">
        <v>107</v>
      </c>
      <c r="C87" s="288"/>
      <c r="D87" s="292"/>
      <c r="E87" s="282"/>
      <c r="G87" s="236"/>
    </row>
    <row r="88" spans="1:8" ht="12.75" customHeight="1" x14ac:dyDescent="0.25">
      <c r="A88" s="184"/>
      <c r="B88" s="296"/>
      <c r="C88" s="297"/>
      <c r="D88" s="207"/>
      <c r="E88" s="680">
        <v>12010942.42</v>
      </c>
      <c r="G88" s="236">
        <f>'Sched-B1'!C8+'Sched-B1'!D8</f>
        <v>12010942.42</v>
      </c>
      <c r="H88" s="236">
        <f>E88-G88</f>
        <v>0</v>
      </c>
    </row>
    <row r="89" spans="1:8" ht="12.75" customHeight="1" x14ac:dyDescent="0.25">
      <c r="A89" s="272" t="s">
        <v>15</v>
      </c>
      <c r="B89" s="296" t="s">
        <v>12</v>
      </c>
      <c r="C89" s="274" t="s">
        <v>296</v>
      </c>
      <c r="D89" s="292">
        <v>0</v>
      </c>
      <c r="E89" s="282" t="s">
        <v>0</v>
      </c>
    </row>
    <row r="90" spans="1:8" ht="12.75" customHeight="1" x14ac:dyDescent="0.25">
      <c r="A90" s="184"/>
      <c r="B90" s="277" t="s">
        <v>857</v>
      </c>
      <c r="C90" s="278">
        <v>6.13E-2</v>
      </c>
      <c r="D90" s="292"/>
      <c r="E90" s="282"/>
    </row>
    <row r="91" spans="1:8" ht="12.75" customHeight="1" x14ac:dyDescent="0.25">
      <c r="A91" s="184"/>
      <c r="B91" s="277" t="s">
        <v>577</v>
      </c>
      <c r="C91" s="278">
        <v>0.22</v>
      </c>
      <c r="D91" s="292"/>
      <c r="E91" s="282"/>
    </row>
    <row r="92" spans="1:8" ht="12.75" customHeight="1" x14ac:dyDescent="0.25">
      <c r="A92" s="184"/>
      <c r="B92" s="277" t="s">
        <v>578</v>
      </c>
      <c r="C92" s="678" t="s">
        <v>103</v>
      </c>
      <c r="D92" s="279"/>
      <c r="E92" s="282" t="s">
        <v>0</v>
      </c>
    </row>
    <row r="93" spans="1:8" ht="12.75" customHeight="1" x14ac:dyDescent="0.25">
      <c r="A93" s="184"/>
      <c r="B93" s="277" t="s">
        <v>579</v>
      </c>
      <c r="C93" s="678" t="s">
        <v>103</v>
      </c>
      <c r="D93" s="279"/>
      <c r="E93" s="282" t="s">
        <v>0</v>
      </c>
    </row>
    <row r="94" spans="1:8" ht="12.75" customHeight="1" x14ac:dyDescent="0.25">
      <c r="A94" s="184"/>
      <c r="B94" s="277" t="s">
        <v>580</v>
      </c>
      <c r="C94" s="678" t="s">
        <v>103</v>
      </c>
      <c r="D94" s="279"/>
      <c r="E94" s="282" t="s">
        <v>0</v>
      </c>
    </row>
    <row r="95" spans="1:8" ht="12.75" customHeight="1" x14ac:dyDescent="0.25">
      <c r="A95" s="184"/>
      <c r="B95" s="277" t="s">
        <v>581</v>
      </c>
      <c r="C95" s="678" t="s">
        <v>103</v>
      </c>
      <c r="D95" s="279"/>
      <c r="E95" s="282" t="s">
        <v>0</v>
      </c>
    </row>
    <row r="96" spans="1:8" ht="12.75" customHeight="1" x14ac:dyDescent="0.25">
      <c r="A96" s="184"/>
      <c r="B96" s="296" t="s">
        <v>8</v>
      </c>
      <c r="C96" s="278">
        <v>3.5999999999999999E-3</v>
      </c>
      <c r="D96" s="292"/>
      <c r="E96" s="282"/>
    </row>
    <row r="97" spans="1:8" ht="12.75" customHeight="1" x14ac:dyDescent="0.25">
      <c r="A97" s="184"/>
      <c r="B97" s="296" t="s">
        <v>9</v>
      </c>
      <c r="C97" s="567" t="str">
        <f>C11</f>
        <v>$1482.75/mo</v>
      </c>
      <c r="D97" s="292"/>
      <c r="E97" s="282"/>
    </row>
    <row r="98" spans="1:8" ht="12.75" customHeight="1" x14ac:dyDescent="0.25">
      <c r="A98" s="184"/>
      <c r="B98" s="296" t="s">
        <v>7</v>
      </c>
      <c r="C98" s="284" t="s">
        <v>320</v>
      </c>
      <c r="D98" s="292"/>
      <c r="E98" s="282"/>
    </row>
    <row r="99" spans="1:8" ht="12.75" customHeight="1" x14ac:dyDescent="0.25">
      <c r="A99" s="184"/>
      <c r="B99" s="296" t="s">
        <v>10</v>
      </c>
      <c r="C99" s="278">
        <f>C13</f>
        <v>4.1200000000000001E-2</v>
      </c>
      <c r="D99" s="292"/>
      <c r="E99" s="282"/>
    </row>
    <row r="100" spans="1:8" ht="12.75" customHeight="1" x14ac:dyDescent="0.25">
      <c r="A100" s="184"/>
      <c r="B100" s="296" t="s">
        <v>14</v>
      </c>
      <c r="C100" s="278">
        <f>C14</f>
        <v>2.3099999999999999E-2</v>
      </c>
      <c r="D100" s="292"/>
      <c r="E100" s="282"/>
    </row>
    <row r="101" spans="1:8" ht="12.75" customHeight="1" x14ac:dyDescent="0.25">
      <c r="A101" s="184"/>
      <c r="B101" s="296" t="s">
        <v>11</v>
      </c>
      <c r="C101" s="278">
        <f>C15</f>
        <v>1.2E-2</v>
      </c>
      <c r="D101" s="292"/>
      <c r="E101" s="282"/>
    </row>
    <row r="102" spans="1:8" ht="12.75" customHeight="1" x14ac:dyDescent="0.25">
      <c r="A102" s="184"/>
      <c r="B102" s="184" t="s">
        <v>213</v>
      </c>
      <c r="C102" s="283" t="s">
        <v>335</v>
      </c>
      <c r="D102" s="292"/>
      <c r="E102" s="282"/>
    </row>
    <row r="103" spans="1:8" ht="12.75" customHeight="1" x14ac:dyDescent="0.25">
      <c r="A103" s="184"/>
      <c r="B103" s="277" t="s">
        <v>587</v>
      </c>
      <c r="C103" s="278">
        <f>C18</f>
        <v>1.4500000000000001E-2</v>
      </c>
      <c r="D103" s="292"/>
      <c r="E103" s="282"/>
    </row>
    <row r="104" spans="1:8" ht="12.75" customHeight="1" x14ac:dyDescent="0.25">
      <c r="A104" s="184"/>
      <c r="B104" s="296" t="s">
        <v>107</v>
      </c>
      <c r="C104" s="288"/>
      <c r="D104" s="292"/>
      <c r="E104" s="327"/>
      <c r="G104" s="236"/>
    </row>
    <row r="105" spans="1:8" ht="12.75" customHeight="1" x14ac:dyDescent="0.25">
      <c r="A105" s="184"/>
      <c r="B105" s="296"/>
      <c r="C105" s="297"/>
      <c r="D105" s="207"/>
      <c r="E105" s="680">
        <v>1517505.34</v>
      </c>
      <c r="G105" s="236">
        <f>'Sched-B1'!C9+'Sched-B1'!D9</f>
        <v>1517505.34</v>
      </c>
      <c r="H105" s="236">
        <f>E105-G105</f>
        <v>0</v>
      </c>
    </row>
    <row r="106" spans="1:8" ht="12.75" customHeight="1" x14ac:dyDescent="0.25">
      <c r="A106" s="272" t="s">
        <v>16</v>
      </c>
      <c r="B106" s="296" t="s">
        <v>12</v>
      </c>
      <c r="C106" s="274" t="s">
        <v>296</v>
      </c>
      <c r="D106" s="292">
        <v>0</v>
      </c>
      <c r="E106" s="282" t="s">
        <v>0</v>
      </c>
    </row>
    <row r="107" spans="1:8" ht="12.75" customHeight="1" x14ac:dyDescent="0.25">
      <c r="A107" s="184"/>
      <c r="B107" s="277" t="s">
        <v>857</v>
      </c>
      <c r="C107" s="278">
        <v>6.13E-2</v>
      </c>
      <c r="D107" s="292"/>
      <c r="E107" s="282"/>
    </row>
    <row r="108" spans="1:8" ht="12.75" customHeight="1" x14ac:dyDescent="0.25">
      <c r="A108" s="184"/>
      <c r="B108" s="277" t="s">
        <v>577</v>
      </c>
      <c r="C108" s="278">
        <v>0.22</v>
      </c>
      <c r="D108" s="292"/>
      <c r="E108" s="282"/>
    </row>
    <row r="109" spans="1:8" ht="12.75" customHeight="1" x14ac:dyDescent="0.25">
      <c r="A109" s="184"/>
      <c r="B109" s="277" t="s">
        <v>578</v>
      </c>
      <c r="C109" s="678" t="s">
        <v>103</v>
      </c>
      <c r="D109" s="279"/>
      <c r="E109" s="282" t="s">
        <v>0</v>
      </c>
    </row>
    <row r="110" spans="1:8" ht="12.75" customHeight="1" x14ac:dyDescent="0.25">
      <c r="A110" s="184"/>
      <c r="B110" s="277" t="s">
        <v>579</v>
      </c>
      <c r="C110" s="678" t="s">
        <v>103</v>
      </c>
      <c r="D110" s="279"/>
      <c r="E110" s="282" t="s">
        <v>0</v>
      </c>
    </row>
    <row r="111" spans="1:8" ht="12.75" customHeight="1" x14ac:dyDescent="0.25">
      <c r="A111" s="184"/>
      <c r="B111" s="277" t="s">
        <v>580</v>
      </c>
      <c r="C111" s="678" t="s">
        <v>103</v>
      </c>
      <c r="D111" s="279"/>
      <c r="E111" s="282" t="s">
        <v>0</v>
      </c>
    </row>
    <row r="112" spans="1:8" ht="12.75" customHeight="1" x14ac:dyDescent="0.25">
      <c r="A112" s="184"/>
      <c r="B112" s="277" t="s">
        <v>581</v>
      </c>
      <c r="C112" s="678" t="s">
        <v>103</v>
      </c>
      <c r="D112" s="279"/>
      <c r="E112" s="282" t="s">
        <v>0</v>
      </c>
    </row>
    <row r="113" spans="1:8" ht="12.75" customHeight="1" x14ac:dyDescent="0.25">
      <c r="A113" s="184"/>
      <c r="B113" s="296" t="s">
        <v>8</v>
      </c>
      <c r="C113" s="278">
        <v>3.5999999999999999E-3</v>
      </c>
      <c r="D113" s="292"/>
      <c r="E113" s="282"/>
    </row>
    <row r="114" spans="1:8" ht="12.75" customHeight="1" x14ac:dyDescent="0.25">
      <c r="A114" s="184"/>
      <c r="B114" s="296" t="s">
        <v>9</v>
      </c>
      <c r="C114" s="567" t="str">
        <f>C11</f>
        <v>$1482.75/mo</v>
      </c>
      <c r="D114" s="292"/>
      <c r="E114" s="282"/>
    </row>
    <row r="115" spans="1:8" ht="12.75" customHeight="1" x14ac:dyDescent="0.25">
      <c r="A115" s="184"/>
      <c r="B115" s="296" t="s">
        <v>7</v>
      </c>
      <c r="C115" s="284" t="s">
        <v>320</v>
      </c>
      <c r="D115" s="292"/>
      <c r="E115" s="282"/>
    </row>
    <row r="116" spans="1:8" ht="12.75" customHeight="1" x14ac:dyDescent="0.25">
      <c r="A116" s="184"/>
      <c r="B116" s="296" t="s">
        <v>10</v>
      </c>
      <c r="C116" s="278">
        <f>C13</f>
        <v>4.1200000000000001E-2</v>
      </c>
      <c r="D116" s="292"/>
      <c r="E116" s="282"/>
    </row>
    <row r="117" spans="1:8" ht="12.75" customHeight="1" x14ac:dyDescent="0.25">
      <c r="A117" s="184"/>
      <c r="B117" s="296" t="s">
        <v>14</v>
      </c>
      <c r="C117" s="278">
        <f>C14</f>
        <v>2.3099999999999999E-2</v>
      </c>
      <c r="D117" s="292"/>
      <c r="E117" s="282"/>
    </row>
    <row r="118" spans="1:8" ht="12.75" customHeight="1" x14ac:dyDescent="0.25">
      <c r="A118" s="184"/>
      <c r="B118" s="296" t="s">
        <v>11</v>
      </c>
      <c r="C118" s="278">
        <f>C15</f>
        <v>1.2E-2</v>
      </c>
      <c r="D118" s="292"/>
      <c r="E118" s="282"/>
    </row>
    <row r="119" spans="1:8" ht="12.75" customHeight="1" x14ac:dyDescent="0.25">
      <c r="A119" s="184"/>
      <c r="B119" s="184" t="s">
        <v>213</v>
      </c>
      <c r="C119" s="283" t="s">
        <v>335</v>
      </c>
      <c r="D119" s="292"/>
      <c r="E119" s="282"/>
    </row>
    <row r="120" spans="1:8" ht="12.75" customHeight="1" x14ac:dyDescent="0.25">
      <c r="A120" s="184"/>
      <c r="B120" s="277" t="s">
        <v>587</v>
      </c>
      <c r="C120" s="278">
        <v>1.4500000000000001E-2</v>
      </c>
      <c r="D120" s="292"/>
      <c r="E120" s="282"/>
    </row>
    <row r="121" spans="1:8" ht="12.75" customHeight="1" x14ac:dyDescent="0.25">
      <c r="A121" s="184"/>
      <c r="B121" s="296" t="s">
        <v>107</v>
      </c>
      <c r="C121" s="288"/>
      <c r="D121" s="292"/>
      <c r="E121" s="282"/>
      <c r="G121" s="236"/>
    </row>
    <row r="122" spans="1:8" ht="12.75" customHeight="1" x14ac:dyDescent="0.25">
      <c r="A122" s="184"/>
      <c r="B122" s="296"/>
      <c r="C122" s="294"/>
      <c r="D122" s="207"/>
      <c r="E122" s="680">
        <v>3250588.04</v>
      </c>
      <c r="G122" s="236">
        <f>'Sched-B1'!C10+'Sched-B1'!D10</f>
        <v>3250588.04</v>
      </c>
      <c r="H122" s="295">
        <f>E122-G122</f>
        <v>0</v>
      </c>
    </row>
    <row r="123" spans="1:8" ht="12.75" customHeight="1" x14ac:dyDescent="0.25">
      <c r="A123" s="272" t="s">
        <v>129</v>
      </c>
      <c r="B123" s="296" t="s">
        <v>12</v>
      </c>
      <c r="C123" s="274" t="s">
        <v>296</v>
      </c>
      <c r="D123" s="292">
        <v>0</v>
      </c>
      <c r="E123" s="282" t="s">
        <v>0</v>
      </c>
    </row>
    <row r="124" spans="1:8" ht="12.75" customHeight="1" x14ac:dyDescent="0.25">
      <c r="A124" s="184"/>
      <c r="B124" s="277" t="s">
        <v>857</v>
      </c>
      <c r="C124" s="278">
        <v>6.13E-2</v>
      </c>
      <c r="D124" s="292"/>
      <c r="E124" s="282"/>
    </row>
    <row r="125" spans="1:8" ht="12.75" customHeight="1" x14ac:dyDescent="0.25">
      <c r="A125" s="184"/>
      <c r="B125" s="277" t="s">
        <v>577</v>
      </c>
      <c r="C125" s="278">
        <v>0.22</v>
      </c>
      <c r="D125" s="292"/>
      <c r="E125" s="282"/>
    </row>
    <row r="126" spans="1:8" ht="12.75" customHeight="1" x14ac:dyDescent="0.25">
      <c r="A126" s="184"/>
      <c r="B126" s="277" t="s">
        <v>578</v>
      </c>
      <c r="C126" s="678" t="s">
        <v>103</v>
      </c>
      <c r="D126" s="279"/>
      <c r="E126" s="282" t="s">
        <v>0</v>
      </c>
    </row>
    <row r="127" spans="1:8" ht="12.75" customHeight="1" x14ac:dyDescent="0.25">
      <c r="A127" s="184"/>
      <c r="B127" s="277" t="s">
        <v>579</v>
      </c>
      <c r="C127" s="678" t="s">
        <v>103</v>
      </c>
      <c r="D127" s="279"/>
      <c r="E127" s="282" t="s">
        <v>0</v>
      </c>
    </row>
    <row r="128" spans="1:8" ht="12.75" customHeight="1" x14ac:dyDescent="0.25">
      <c r="A128" s="184"/>
      <c r="B128" s="277" t="s">
        <v>580</v>
      </c>
      <c r="C128" s="678" t="s">
        <v>103</v>
      </c>
      <c r="D128" s="279"/>
      <c r="E128" s="282" t="s">
        <v>0</v>
      </c>
    </row>
    <row r="129" spans="1:8" ht="12.75" customHeight="1" x14ac:dyDescent="0.25">
      <c r="A129" s="184"/>
      <c r="B129" s="277" t="s">
        <v>581</v>
      </c>
      <c r="C129" s="678" t="s">
        <v>103</v>
      </c>
      <c r="D129" s="279"/>
      <c r="E129" s="282" t="s">
        <v>0</v>
      </c>
    </row>
    <row r="130" spans="1:8" ht="12.75" customHeight="1" x14ac:dyDescent="0.25">
      <c r="A130" s="184"/>
      <c r="B130" s="296" t="s">
        <v>8</v>
      </c>
      <c r="C130" s="278">
        <v>3.5999999999999999E-3</v>
      </c>
      <c r="D130" s="292"/>
      <c r="E130" s="282"/>
    </row>
    <row r="131" spans="1:8" ht="12.75" customHeight="1" x14ac:dyDescent="0.25">
      <c r="A131" s="184"/>
      <c r="B131" s="296" t="s">
        <v>9</v>
      </c>
      <c r="C131" s="567" t="str">
        <f>C11</f>
        <v>$1482.75/mo</v>
      </c>
      <c r="D131" s="292"/>
      <c r="E131" s="282"/>
    </row>
    <row r="132" spans="1:8" ht="12.75" customHeight="1" x14ac:dyDescent="0.25">
      <c r="A132" s="184"/>
      <c r="B132" s="296" t="s">
        <v>7</v>
      </c>
      <c r="C132" s="284" t="s">
        <v>320</v>
      </c>
      <c r="D132" s="292"/>
      <c r="E132" s="282"/>
    </row>
    <row r="133" spans="1:8" ht="12.75" customHeight="1" x14ac:dyDescent="0.25">
      <c r="A133" s="184"/>
      <c r="B133" s="296" t="s">
        <v>10</v>
      </c>
      <c r="C133" s="278">
        <f>C13</f>
        <v>4.1200000000000001E-2</v>
      </c>
      <c r="D133" s="292"/>
      <c r="E133" s="282"/>
    </row>
    <row r="134" spans="1:8" ht="12.75" customHeight="1" x14ac:dyDescent="0.25">
      <c r="A134" s="184"/>
      <c r="B134" s="296" t="s">
        <v>14</v>
      </c>
      <c r="C134" s="278">
        <f>C14</f>
        <v>2.3099999999999999E-2</v>
      </c>
      <c r="D134" s="292"/>
      <c r="E134" s="282"/>
    </row>
    <row r="135" spans="1:8" ht="12.75" customHeight="1" x14ac:dyDescent="0.25">
      <c r="A135" s="184"/>
      <c r="B135" s="296" t="s">
        <v>11</v>
      </c>
      <c r="C135" s="278">
        <f>C15</f>
        <v>1.2E-2</v>
      </c>
      <c r="D135" s="292"/>
      <c r="E135" s="282"/>
    </row>
    <row r="136" spans="1:8" ht="12.75" customHeight="1" x14ac:dyDescent="0.25">
      <c r="A136" s="184"/>
      <c r="B136" s="184" t="s">
        <v>213</v>
      </c>
      <c r="C136" s="283" t="s">
        <v>335</v>
      </c>
      <c r="D136" s="292"/>
      <c r="E136" s="282"/>
    </row>
    <row r="137" spans="1:8" ht="12.75" customHeight="1" x14ac:dyDescent="0.25">
      <c r="A137" s="184"/>
      <c r="B137" s="277" t="s">
        <v>587</v>
      </c>
      <c r="C137" s="278">
        <v>1.4500000000000001E-2</v>
      </c>
      <c r="D137" s="292"/>
      <c r="E137" s="282"/>
    </row>
    <row r="138" spans="1:8" ht="12.75" customHeight="1" x14ac:dyDescent="0.25">
      <c r="A138" s="184"/>
      <c r="B138" s="296" t="s">
        <v>107</v>
      </c>
      <c r="C138" s="288"/>
      <c r="D138" s="292"/>
      <c r="E138" s="282"/>
      <c r="G138" s="236"/>
    </row>
    <row r="139" spans="1:8" ht="12.75" customHeight="1" x14ac:dyDescent="0.25">
      <c r="A139" s="184"/>
      <c r="B139" s="296"/>
      <c r="C139" s="297"/>
      <c r="D139" s="207"/>
      <c r="E139" s="680">
        <v>2170569.35</v>
      </c>
      <c r="G139" s="236">
        <f>'Sched-B1'!C11+'Sched-B1'!D11</f>
        <v>2170569.35</v>
      </c>
      <c r="H139" s="236">
        <f>E139-G139</f>
        <v>0</v>
      </c>
    </row>
    <row r="140" spans="1:8" ht="12.75" customHeight="1" x14ac:dyDescent="0.25">
      <c r="A140" s="272" t="s">
        <v>18</v>
      </c>
      <c r="B140" s="296" t="s">
        <v>12</v>
      </c>
      <c r="C140" s="274" t="s">
        <v>296</v>
      </c>
      <c r="D140" s="292">
        <v>0</v>
      </c>
      <c r="E140" s="282" t="s">
        <v>0</v>
      </c>
    </row>
    <row r="141" spans="1:8" ht="12.75" customHeight="1" x14ac:dyDescent="0.25">
      <c r="A141" s="184"/>
      <c r="B141" s="277" t="s">
        <v>857</v>
      </c>
      <c r="C141" s="278">
        <v>6.13E-2</v>
      </c>
      <c r="D141" s="292"/>
      <c r="E141" s="282"/>
    </row>
    <row r="142" spans="1:8" ht="12.75" customHeight="1" x14ac:dyDescent="0.25">
      <c r="A142" s="184"/>
      <c r="B142" s="277" t="s">
        <v>577</v>
      </c>
      <c r="C142" s="278">
        <v>0.22</v>
      </c>
      <c r="D142" s="292"/>
      <c r="E142" s="282"/>
    </row>
    <row r="143" spans="1:8" ht="12.75" customHeight="1" x14ac:dyDescent="0.25">
      <c r="A143" s="184"/>
      <c r="B143" s="277" t="s">
        <v>578</v>
      </c>
      <c r="C143" s="678" t="s">
        <v>103</v>
      </c>
      <c r="D143" s="279"/>
      <c r="E143" s="282" t="s">
        <v>0</v>
      </c>
    </row>
    <row r="144" spans="1:8" ht="12.75" customHeight="1" x14ac:dyDescent="0.25">
      <c r="A144" s="184"/>
      <c r="B144" s="277" t="s">
        <v>579</v>
      </c>
      <c r="C144" s="678" t="s">
        <v>103</v>
      </c>
      <c r="D144" s="279"/>
      <c r="E144" s="282" t="s">
        <v>0</v>
      </c>
    </row>
    <row r="145" spans="1:8" ht="12.75" customHeight="1" x14ac:dyDescent="0.25">
      <c r="A145" s="184"/>
      <c r="B145" s="277" t="s">
        <v>580</v>
      </c>
      <c r="C145" s="678" t="s">
        <v>103</v>
      </c>
      <c r="D145" s="279"/>
      <c r="E145" s="282" t="s">
        <v>0</v>
      </c>
    </row>
    <row r="146" spans="1:8" ht="12.75" customHeight="1" x14ac:dyDescent="0.25">
      <c r="A146" s="184"/>
      <c r="B146" s="277" t="s">
        <v>581</v>
      </c>
      <c r="C146" s="678" t="s">
        <v>103</v>
      </c>
      <c r="D146" s="279"/>
      <c r="E146" s="282" t="s">
        <v>0</v>
      </c>
    </row>
    <row r="147" spans="1:8" ht="12.75" customHeight="1" x14ac:dyDescent="0.25">
      <c r="A147" s="184"/>
      <c r="B147" s="296" t="s">
        <v>8</v>
      </c>
      <c r="C147" s="278">
        <v>3.5999999999999999E-3</v>
      </c>
      <c r="D147" s="292"/>
      <c r="E147" s="282"/>
    </row>
    <row r="148" spans="1:8" ht="12.75" customHeight="1" x14ac:dyDescent="0.25">
      <c r="A148" s="184"/>
      <c r="B148" s="296" t="s">
        <v>9</v>
      </c>
      <c r="C148" s="567" t="str">
        <f>C11</f>
        <v>$1482.75/mo</v>
      </c>
      <c r="D148" s="292"/>
      <c r="E148" s="282"/>
    </row>
    <row r="149" spans="1:8" ht="12.75" customHeight="1" x14ac:dyDescent="0.25">
      <c r="A149" s="184"/>
      <c r="B149" s="296" t="s">
        <v>7</v>
      </c>
      <c r="C149" s="284" t="s">
        <v>320</v>
      </c>
      <c r="D149" s="292"/>
      <c r="E149" s="282"/>
    </row>
    <row r="150" spans="1:8" ht="12.75" customHeight="1" x14ac:dyDescent="0.25">
      <c r="A150" s="184"/>
      <c r="B150" s="296" t="s">
        <v>10</v>
      </c>
      <c r="C150" s="278">
        <f>C13</f>
        <v>4.1200000000000001E-2</v>
      </c>
      <c r="D150" s="292"/>
      <c r="E150" s="282"/>
    </row>
    <row r="151" spans="1:8" ht="12.75" customHeight="1" x14ac:dyDescent="0.25">
      <c r="A151" s="184"/>
      <c r="B151" s="296" t="s">
        <v>14</v>
      </c>
      <c r="C151" s="278">
        <f>C14</f>
        <v>2.3099999999999999E-2</v>
      </c>
      <c r="D151" s="292"/>
      <c r="E151" s="282"/>
    </row>
    <row r="152" spans="1:8" ht="12.75" customHeight="1" x14ac:dyDescent="0.25">
      <c r="A152" s="184"/>
      <c r="B152" s="296" t="s">
        <v>11</v>
      </c>
      <c r="C152" s="278">
        <f>C15</f>
        <v>1.2E-2</v>
      </c>
      <c r="D152" s="292"/>
      <c r="E152" s="282"/>
    </row>
    <row r="153" spans="1:8" ht="12.75" customHeight="1" x14ac:dyDescent="0.25">
      <c r="A153" s="184"/>
      <c r="B153" s="184" t="s">
        <v>213</v>
      </c>
      <c r="C153" s="283" t="s">
        <v>335</v>
      </c>
      <c r="D153" s="292"/>
      <c r="E153" s="282"/>
    </row>
    <row r="154" spans="1:8" ht="12.75" customHeight="1" x14ac:dyDescent="0.25">
      <c r="A154" s="184"/>
      <c r="B154" s="277" t="s">
        <v>587</v>
      </c>
      <c r="C154" s="278">
        <v>1.4500000000000001E-2</v>
      </c>
      <c r="D154" s="292"/>
      <c r="E154" s="282"/>
    </row>
    <row r="155" spans="1:8" ht="12.75" customHeight="1" x14ac:dyDescent="0.25">
      <c r="A155" s="184"/>
      <c r="B155" s="296" t="s">
        <v>107</v>
      </c>
      <c r="C155" s="288"/>
      <c r="D155" s="292"/>
      <c r="E155" s="282"/>
    </row>
    <row r="156" spans="1:8" ht="12.75" customHeight="1" x14ac:dyDescent="0.25">
      <c r="A156" s="184"/>
      <c r="B156" s="296"/>
      <c r="C156" s="297"/>
      <c r="D156" s="207"/>
      <c r="E156" s="680">
        <f>27056.89</f>
        <v>27056.89</v>
      </c>
      <c r="G156" s="236">
        <f>'Sched-B1'!C12+'Sched-B1'!D12</f>
        <v>27056.89</v>
      </c>
      <c r="H156" s="236">
        <f>E156-G156</f>
        <v>0</v>
      </c>
    </row>
    <row r="157" spans="1:8" ht="12.75" customHeight="1" x14ac:dyDescent="0.25">
      <c r="A157" s="272" t="s">
        <v>19</v>
      </c>
      <c r="B157" s="296" t="s">
        <v>12</v>
      </c>
      <c r="C157" s="274" t="s">
        <v>296</v>
      </c>
      <c r="D157" s="292"/>
      <c r="E157" s="282" t="s">
        <v>0</v>
      </c>
    </row>
    <row r="158" spans="1:8" ht="12.75" customHeight="1" x14ac:dyDescent="0.25">
      <c r="A158" s="184"/>
      <c r="B158" s="277" t="s">
        <v>857</v>
      </c>
      <c r="C158" s="278">
        <v>6.13E-2</v>
      </c>
      <c r="D158" s="292"/>
      <c r="E158" s="282"/>
    </row>
    <row r="159" spans="1:8" ht="12.75" customHeight="1" x14ac:dyDescent="0.25">
      <c r="A159" s="184"/>
      <c r="B159" s="277" t="s">
        <v>577</v>
      </c>
      <c r="C159" s="278">
        <v>0.22</v>
      </c>
      <c r="D159" s="292"/>
      <c r="E159" s="282"/>
    </row>
    <row r="160" spans="1:8" ht="12.75" customHeight="1" x14ac:dyDescent="0.25">
      <c r="A160" s="184"/>
      <c r="B160" s="277" t="s">
        <v>578</v>
      </c>
      <c r="C160" s="678" t="s">
        <v>103</v>
      </c>
      <c r="D160" s="279"/>
      <c r="E160" s="282" t="s">
        <v>0</v>
      </c>
    </row>
    <row r="161" spans="1:8" ht="12.75" customHeight="1" x14ac:dyDescent="0.25">
      <c r="A161" s="184"/>
      <c r="B161" s="277" t="s">
        <v>579</v>
      </c>
      <c r="C161" s="678" t="s">
        <v>103</v>
      </c>
      <c r="D161" s="279"/>
      <c r="E161" s="282" t="s">
        <v>0</v>
      </c>
    </row>
    <row r="162" spans="1:8" ht="12.75" customHeight="1" x14ac:dyDescent="0.25">
      <c r="A162" s="184"/>
      <c r="B162" s="277" t="s">
        <v>580</v>
      </c>
      <c r="C162" s="678" t="s">
        <v>103</v>
      </c>
      <c r="D162" s="279"/>
      <c r="E162" s="282" t="s">
        <v>0</v>
      </c>
    </row>
    <row r="163" spans="1:8" ht="12.75" customHeight="1" x14ac:dyDescent="0.25">
      <c r="A163" s="184"/>
      <c r="B163" s="277" t="s">
        <v>581</v>
      </c>
      <c r="C163" s="678" t="s">
        <v>103</v>
      </c>
      <c r="D163" s="279"/>
      <c r="E163" s="282" t="s">
        <v>0</v>
      </c>
    </row>
    <row r="164" spans="1:8" ht="12.75" customHeight="1" x14ac:dyDescent="0.25">
      <c r="A164" s="184"/>
      <c r="B164" s="296" t="s">
        <v>8</v>
      </c>
      <c r="C164" s="278">
        <v>3.5999999999999999E-3</v>
      </c>
      <c r="D164" s="292"/>
      <c r="E164" s="282"/>
    </row>
    <row r="165" spans="1:8" ht="12.75" customHeight="1" x14ac:dyDescent="0.25">
      <c r="A165" s="184"/>
      <c r="B165" s="296" t="s">
        <v>9</v>
      </c>
      <c r="C165" s="567" t="str">
        <f>C11</f>
        <v>$1482.75/mo</v>
      </c>
      <c r="D165" s="292"/>
      <c r="E165" s="282"/>
    </row>
    <row r="166" spans="1:8" ht="12.75" customHeight="1" x14ac:dyDescent="0.25">
      <c r="A166" s="184"/>
      <c r="B166" s="296" t="s">
        <v>7</v>
      </c>
      <c r="C166" s="284" t="s">
        <v>320</v>
      </c>
      <c r="D166" s="292"/>
      <c r="E166" s="282"/>
    </row>
    <row r="167" spans="1:8" ht="12.75" customHeight="1" x14ac:dyDescent="0.25">
      <c r="A167" s="184"/>
      <c r="B167" s="296" t="s">
        <v>10</v>
      </c>
      <c r="C167" s="278">
        <f>C13</f>
        <v>4.1200000000000001E-2</v>
      </c>
      <c r="D167" s="292"/>
      <c r="E167" s="282"/>
    </row>
    <row r="168" spans="1:8" ht="12.75" customHeight="1" x14ac:dyDescent="0.25">
      <c r="A168" s="184"/>
      <c r="B168" s="296" t="s">
        <v>14</v>
      </c>
      <c r="C168" s="278">
        <f>C14</f>
        <v>2.3099999999999999E-2</v>
      </c>
      <c r="D168" s="292"/>
      <c r="E168" s="282"/>
    </row>
    <row r="169" spans="1:8" ht="12.75" customHeight="1" x14ac:dyDescent="0.25">
      <c r="A169" s="184"/>
      <c r="B169" s="296" t="s">
        <v>11</v>
      </c>
      <c r="C169" s="278">
        <f>C15</f>
        <v>1.2E-2</v>
      </c>
      <c r="D169" s="292"/>
      <c r="E169" s="282"/>
    </row>
    <row r="170" spans="1:8" ht="12.75" customHeight="1" x14ac:dyDescent="0.25">
      <c r="A170" s="184"/>
      <c r="B170" s="184" t="s">
        <v>213</v>
      </c>
      <c r="C170" s="283" t="s">
        <v>335</v>
      </c>
      <c r="D170" s="292"/>
      <c r="E170" s="282"/>
    </row>
    <row r="171" spans="1:8" ht="12.75" customHeight="1" x14ac:dyDescent="0.25">
      <c r="A171" s="184"/>
      <c r="B171" s="277" t="s">
        <v>587</v>
      </c>
      <c r="C171" s="278">
        <v>1.4500000000000001E-2</v>
      </c>
      <c r="D171" s="292"/>
      <c r="E171" s="282"/>
    </row>
    <row r="172" spans="1:8" ht="12.75" customHeight="1" x14ac:dyDescent="0.25">
      <c r="A172" s="184"/>
      <c r="B172" s="296" t="s">
        <v>107</v>
      </c>
      <c r="C172" s="288"/>
      <c r="D172" s="292"/>
      <c r="E172" s="282"/>
      <c r="G172" s="236"/>
    </row>
    <row r="173" spans="1:8" ht="12.75" customHeight="1" x14ac:dyDescent="0.25">
      <c r="A173" s="184"/>
      <c r="B173" s="296"/>
      <c r="C173" s="297"/>
      <c r="D173" s="207"/>
      <c r="E173" s="680">
        <v>6932714.8300000001</v>
      </c>
      <c r="G173" s="236">
        <f>'Sched-B1'!C13+'Sched-B1'!D13</f>
        <v>6932714.8300000001</v>
      </c>
      <c r="H173" s="236">
        <f>E173-G173</f>
        <v>0</v>
      </c>
    </row>
    <row r="174" spans="1:8" ht="12.75" customHeight="1" x14ac:dyDescent="0.25">
      <c r="A174" s="272" t="s">
        <v>25</v>
      </c>
      <c r="B174" s="296" t="s">
        <v>12</v>
      </c>
      <c r="C174" s="274" t="s">
        <v>296</v>
      </c>
      <c r="D174" s="292"/>
      <c r="E174" s="282" t="s">
        <v>0</v>
      </c>
    </row>
    <row r="175" spans="1:8" ht="12.75" customHeight="1" x14ac:dyDescent="0.25">
      <c r="A175" s="184"/>
      <c r="B175" s="277" t="s">
        <v>857</v>
      </c>
      <c r="C175" s="278">
        <v>6.13E-2</v>
      </c>
      <c r="D175" s="292"/>
      <c r="E175" s="282"/>
    </row>
    <row r="176" spans="1:8" ht="12.75" customHeight="1" x14ac:dyDescent="0.25">
      <c r="A176" s="184"/>
      <c r="B176" s="277" t="s">
        <v>577</v>
      </c>
      <c r="C176" s="278">
        <v>0.22</v>
      </c>
      <c r="D176" s="292"/>
      <c r="E176" s="282"/>
    </row>
    <row r="177" spans="1:8" ht="12.75" customHeight="1" x14ac:dyDescent="0.25">
      <c r="A177" s="184"/>
      <c r="B177" s="277" t="s">
        <v>578</v>
      </c>
      <c r="C177" s="678" t="s">
        <v>103</v>
      </c>
      <c r="D177" s="279"/>
      <c r="E177" s="282" t="s">
        <v>0</v>
      </c>
    </row>
    <row r="178" spans="1:8" ht="12.75" customHeight="1" x14ac:dyDescent="0.25">
      <c r="A178" s="184"/>
      <c r="B178" s="277" t="s">
        <v>579</v>
      </c>
      <c r="C178" s="678" t="s">
        <v>103</v>
      </c>
      <c r="D178" s="279"/>
      <c r="E178" s="282" t="s">
        <v>0</v>
      </c>
    </row>
    <row r="179" spans="1:8" ht="12.75" customHeight="1" x14ac:dyDescent="0.25">
      <c r="A179" s="184"/>
      <c r="B179" s="277" t="s">
        <v>580</v>
      </c>
      <c r="C179" s="678" t="s">
        <v>103</v>
      </c>
      <c r="D179" s="279"/>
      <c r="E179" s="282" t="s">
        <v>0</v>
      </c>
    </row>
    <row r="180" spans="1:8" ht="12.75" customHeight="1" x14ac:dyDescent="0.25">
      <c r="A180" s="184"/>
      <c r="B180" s="277" t="s">
        <v>581</v>
      </c>
      <c r="C180" s="678" t="s">
        <v>103</v>
      </c>
      <c r="D180" s="279"/>
      <c r="E180" s="282" t="s">
        <v>0</v>
      </c>
    </row>
    <row r="181" spans="1:8" ht="12.75" customHeight="1" x14ac:dyDescent="0.25">
      <c r="A181" s="184"/>
      <c r="B181" s="296" t="s">
        <v>8</v>
      </c>
      <c r="C181" s="278">
        <v>3.5999999999999999E-3</v>
      </c>
      <c r="D181" s="292"/>
      <c r="E181" s="282"/>
    </row>
    <row r="182" spans="1:8" ht="12.75" customHeight="1" x14ac:dyDescent="0.25">
      <c r="A182" s="184"/>
      <c r="B182" s="296" t="s">
        <v>9</v>
      </c>
      <c r="C182" s="567" t="str">
        <f>C11</f>
        <v>$1482.75/mo</v>
      </c>
      <c r="D182" s="292"/>
      <c r="E182" s="282"/>
    </row>
    <row r="183" spans="1:8" ht="12.75" customHeight="1" x14ac:dyDescent="0.25">
      <c r="A183" s="184"/>
      <c r="B183" s="296" t="s">
        <v>7</v>
      </c>
      <c r="C183" s="284" t="s">
        <v>320</v>
      </c>
      <c r="D183" s="292"/>
      <c r="E183" s="282"/>
    </row>
    <row r="184" spans="1:8" ht="12.75" customHeight="1" x14ac:dyDescent="0.25">
      <c r="A184" s="184"/>
      <c r="B184" s="296" t="s">
        <v>10</v>
      </c>
      <c r="C184" s="278">
        <f>C13</f>
        <v>4.1200000000000001E-2</v>
      </c>
      <c r="D184" s="292"/>
      <c r="E184" s="282"/>
    </row>
    <row r="185" spans="1:8" ht="12.75" customHeight="1" x14ac:dyDescent="0.25">
      <c r="A185" s="184"/>
      <c r="B185" s="296" t="s">
        <v>14</v>
      </c>
      <c r="C185" s="278">
        <f>C14</f>
        <v>2.3099999999999999E-2</v>
      </c>
      <c r="D185" s="292"/>
      <c r="E185" s="282"/>
    </row>
    <row r="186" spans="1:8" ht="12.75" customHeight="1" x14ac:dyDescent="0.25">
      <c r="A186" s="184"/>
      <c r="B186" s="296" t="s">
        <v>11</v>
      </c>
      <c r="C186" s="278">
        <f>C15</f>
        <v>1.2E-2</v>
      </c>
      <c r="D186" s="292"/>
      <c r="E186" s="282"/>
    </row>
    <row r="187" spans="1:8" ht="12.75" customHeight="1" x14ac:dyDescent="0.25">
      <c r="A187" s="184"/>
      <c r="B187" s="184" t="s">
        <v>213</v>
      </c>
      <c r="C187" s="283" t="s">
        <v>335</v>
      </c>
      <c r="D187" s="292"/>
      <c r="E187" s="282"/>
    </row>
    <row r="188" spans="1:8" ht="12.75" customHeight="1" x14ac:dyDescent="0.25">
      <c r="A188" s="184"/>
      <c r="B188" s="277" t="s">
        <v>587</v>
      </c>
      <c r="C188" s="278">
        <v>1.4500000000000001E-2</v>
      </c>
      <c r="D188" s="292"/>
      <c r="E188" s="282"/>
    </row>
    <row r="189" spans="1:8" ht="12.75" customHeight="1" x14ac:dyDescent="0.25">
      <c r="A189" s="184"/>
      <c r="B189" s="296" t="s">
        <v>107</v>
      </c>
      <c r="C189" s="288"/>
      <c r="D189" s="292"/>
      <c r="E189" s="282"/>
      <c r="G189" s="236"/>
    </row>
    <row r="190" spans="1:8" ht="12.75" customHeight="1" x14ac:dyDescent="0.25">
      <c r="A190" s="184"/>
      <c r="B190" s="296"/>
      <c r="C190" s="297"/>
      <c r="D190" s="207"/>
      <c r="E190" s="680">
        <v>4731281.9400000004</v>
      </c>
      <c r="G190" s="236">
        <f>'Sched-B1'!C14+'Sched-B1'!D14</f>
        <v>4731281.9399999995</v>
      </c>
      <c r="H190" s="236">
        <f>E190-G190</f>
        <v>0</v>
      </c>
    </row>
    <row r="191" spans="1:8" ht="12.75" customHeight="1" x14ac:dyDescent="0.25">
      <c r="A191" s="272" t="s">
        <v>20</v>
      </c>
      <c r="B191" s="296" t="s">
        <v>12</v>
      </c>
      <c r="C191" s="274" t="s">
        <v>296</v>
      </c>
      <c r="D191" s="292">
        <v>0</v>
      </c>
      <c r="E191" s="282" t="s">
        <v>0</v>
      </c>
    </row>
    <row r="192" spans="1:8" ht="12.75" customHeight="1" x14ac:dyDescent="0.25">
      <c r="A192" s="184"/>
      <c r="B192" s="277" t="s">
        <v>857</v>
      </c>
      <c r="C192" s="278">
        <v>6.13E-2</v>
      </c>
      <c r="D192" s="292"/>
      <c r="E192" s="282"/>
    </row>
    <row r="193" spans="1:8" ht="12.75" customHeight="1" x14ac:dyDescent="0.25">
      <c r="A193" s="184"/>
      <c r="B193" s="277" t="s">
        <v>577</v>
      </c>
      <c r="C193" s="278">
        <v>0.22</v>
      </c>
      <c r="D193" s="292"/>
      <c r="E193" s="282"/>
    </row>
    <row r="194" spans="1:8" ht="12.75" customHeight="1" x14ac:dyDescent="0.25">
      <c r="A194" s="184"/>
      <c r="B194" s="277" t="s">
        <v>578</v>
      </c>
      <c r="C194" s="678" t="s">
        <v>103</v>
      </c>
      <c r="D194" s="279"/>
      <c r="E194" s="282" t="s">
        <v>0</v>
      </c>
    </row>
    <row r="195" spans="1:8" ht="12.75" customHeight="1" x14ac:dyDescent="0.25">
      <c r="A195" s="184"/>
      <c r="B195" s="277" t="s">
        <v>579</v>
      </c>
      <c r="C195" s="678" t="s">
        <v>103</v>
      </c>
      <c r="D195" s="279"/>
      <c r="E195" s="282" t="s">
        <v>0</v>
      </c>
    </row>
    <row r="196" spans="1:8" ht="12.75" customHeight="1" x14ac:dyDescent="0.25">
      <c r="A196" s="184"/>
      <c r="B196" s="277" t="s">
        <v>580</v>
      </c>
      <c r="C196" s="678" t="s">
        <v>103</v>
      </c>
      <c r="D196" s="279"/>
      <c r="E196" s="282" t="s">
        <v>0</v>
      </c>
    </row>
    <row r="197" spans="1:8" ht="12.75" customHeight="1" x14ac:dyDescent="0.25">
      <c r="A197" s="184"/>
      <c r="B197" s="277" t="s">
        <v>581</v>
      </c>
      <c r="C197" s="678" t="s">
        <v>103</v>
      </c>
      <c r="D197" s="279"/>
      <c r="E197" s="282" t="s">
        <v>0</v>
      </c>
    </row>
    <row r="198" spans="1:8" ht="12.75" customHeight="1" x14ac:dyDescent="0.25">
      <c r="A198" s="184"/>
      <c r="B198" s="296" t="s">
        <v>8</v>
      </c>
      <c r="C198" s="278">
        <v>3.5999999999999999E-3</v>
      </c>
      <c r="D198" s="292"/>
      <c r="E198" s="282"/>
    </row>
    <row r="199" spans="1:8" ht="12.75" customHeight="1" x14ac:dyDescent="0.25">
      <c r="A199" s="184"/>
      <c r="B199" s="296" t="s">
        <v>9</v>
      </c>
      <c r="C199" s="567" t="str">
        <f>C11</f>
        <v>$1482.75/mo</v>
      </c>
      <c r="D199" s="292"/>
      <c r="E199" s="282"/>
    </row>
    <row r="200" spans="1:8" ht="12.75" customHeight="1" x14ac:dyDescent="0.25">
      <c r="A200" s="184"/>
      <c r="B200" s="296" t="s">
        <v>7</v>
      </c>
      <c r="C200" s="284" t="s">
        <v>320</v>
      </c>
      <c r="D200" s="292"/>
      <c r="E200" s="282"/>
    </row>
    <row r="201" spans="1:8" ht="12.75" customHeight="1" x14ac:dyDescent="0.25">
      <c r="A201" s="184"/>
      <c r="B201" s="296" t="s">
        <v>10</v>
      </c>
      <c r="C201" s="278">
        <f>C13</f>
        <v>4.1200000000000001E-2</v>
      </c>
      <c r="D201" s="292"/>
      <c r="E201" s="282"/>
    </row>
    <row r="202" spans="1:8" ht="12.75" customHeight="1" x14ac:dyDescent="0.25">
      <c r="A202" s="184"/>
      <c r="B202" s="296" t="s">
        <v>14</v>
      </c>
      <c r="C202" s="278">
        <f>C14</f>
        <v>2.3099999999999999E-2</v>
      </c>
      <c r="D202" s="292"/>
      <c r="E202" s="282"/>
    </row>
    <row r="203" spans="1:8" ht="12.75" customHeight="1" x14ac:dyDescent="0.25">
      <c r="A203" s="184"/>
      <c r="B203" s="296" t="s">
        <v>11</v>
      </c>
      <c r="C203" s="278">
        <f>C15</f>
        <v>1.2E-2</v>
      </c>
      <c r="D203" s="292"/>
      <c r="E203" s="282"/>
    </row>
    <row r="204" spans="1:8" ht="12.75" customHeight="1" x14ac:dyDescent="0.25">
      <c r="A204" s="184"/>
      <c r="B204" s="184" t="s">
        <v>213</v>
      </c>
      <c r="C204" s="283" t="s">
        <v>335</v>
      </c>
      <c r="D204" s="292"/>
      <c r="E204" s="282"/>
    </row>
    <row r="205" spans="1:8" ht="12.75" customHeight="1" x14ac:dyDescent="0.25">
      <c r="A205" s="184"/>
      <c r="B205" s="277" t="s">
        <v>587</v>
      </c>
      <c r="C205" s="278">
        <v>1.4500000000000001E-2</v>
      </c>
      <c r="D205" s="292"/>
      <c r="E205" s="282"/>
    </row>
    <row r="206" spans="1:8" ht="12.75" customHeight="1" x14ac:dyDescent="0.25">
      <c r="A206" s="208"/>
      <c r="B206" s="298" t="s">
        <v>107</v>
      </c>
      <c r="C206" s="288"/>
      <c r="D206" s="299"/>
      <c r="E206" s="300"/>
      <c r="G206" s="236"/>
    </row>
    <row r="207" spans="1:8" ht="12.75" customHeight="1" thickBot="1" x14ac:dyDescent="0.3">
      <c r="A207" s="301"/>
      <c r="B207" s="302"/>
      <c r="C207" s="303"/>
      <c r="D207" s="304"/>
      <c r="E207" s="680">
        <v>2550954.46</v>
      </c>
      <c r="G207" s="236">
        <f>'Sched-B1'!C15+'Sched-B1'!D15</f>
        <v>2550954.46</v>
      </c>
      <c r="H207" s="236">
        <f>E207-G207</f>
        <v>0</v>
      </c>
    </row>
    <row r="208" spans="1:8" ht="12.75" customHeight="1" x14ac:dyDescent="0.25">
      <c r="A208" s="272" t="s">
        <v>295</v>
      </c>
      <c r="B208" s="277" t="s">
        <v>12</v>
      </c>
      <c r="C208" s="274" t="s">
        <v>296</v>
      </c>
      <c r="D208" s="292">
        <v>0</v>
      </c>
      <c r="E208" s="282" t="s">
        <v>0</v>
      </c>
    </row>
    <row r="209" spans="1:8" ht="12.75" customHeight="1" x14ac:dyDescent="0.25">
      <c r="A209" s="206"/>
      <c r="B209" s="277" t="s">
        <v>857</v>
      </c>
      <c r="C209" s="278">
        <v>6.13E-2</v>
      </c>
      <c r="D209" s="292">
        <v>0</v>
      </c>
      <c r="E209" s="282"/>
    </row>
    <row r="210" spans="1:8" ht="12.75" customHeight="1" x14ac:dyDescent="0.25">
      <c r="A210" s="184"/>
      <c r="B210" s="277" t="s">
        <v>577</v>
      </c>
      <c r="C210" s="278">
        <v>0.22</v>
      </c>
      <c r="D210" s="292">
        <v>0</v>
      </c>
      <c r="E210" s="282"/>
    </row>
    <row r="211" spans="1:8" ht="12.75" customHeight="1" x14ac:dyDescent="0.25">
      <c r="A211" s="184"/>
      <c r="B211" s="277" t="s">
        <v>578</v>
      </c>
      <c r="C211" s="678" t="s">
        <v>103</v>
      </c>
      <c r="D211" s="279">
        <v>0</v>
      </c>
      <c r="E211" s="282" t="s">
        <v>0</v>
      </c>
    </row>
    <row r="212" spans="1:8" ht="12.75" customHeight="1" x14ac:dyDescent="0.25">
      <c r="A212" s="184"/>
      <c r="B212" s="277" t="s">
        <v>579</v>
      </c>
      <c r="C212" s="678" t="s">
        <v>103</v>
      </c>
      <c r="D212" s="279">
        <v>0</v>
      </c>
      <c r="E212" s="282" t="s">
        <v>0</v>
      </c>
    </row>
    <row r="213" spans="1:8" ht="12.75" customHeight="1" x14ac:dyDescent="0.25">
      <c r="A213" s="184"/>
      <c r="B213" s="277" t="s">
        <v>580</v>
      </c>
      <c r="C213" s="678" t="s">
        <v>103</v>
      </c>
      <c r="D213" s="279">
        <v>0</v>
      </c>
      <c r="E213" s="282" t="s">
        <v>0</v>
      </c>
    </row>
    <row r="214" spans="1:8" ht="12.75" customHeight="1" x14ac:dyDescent="0.25">
      <c r="A214" s="184"/>
      <c r="B214" s="277" t="s">
        <v>581</v>
      </c>
      <c r="C214" s="678" t="s">
        <v>103</v>
      </c>
      <c r="D214" s="279">
        <v>0</v>
      </c>
      <c r="E214" s="282" t="s">
        <v>0</v>
      </c>
    </row>
    <row r="215" spans="1:8" ht="12.75" customHeight="1" x14ac:dyDescent="0.25">
      <c r="A215" s="184"/>
      <c r="B215" s="277" t="s">
        <v>8</v>
      </c>
      <c r="C215" s="278">
        <v>3.5999999999999999E-3</v>
      </c>
      <c r="D215" s="292">
        <v>0</v>
      </c>
      <c r="E215" s="282"/>
    </row>
    <row r="216" spans="1:8" ht="12.75" customHeight="1" x14ac:dyDescent="0.25">
      <c r="A216" s="184"/>
      <c r="B216" s="277" t="s">
        <v>9</v>
      </c>
      <c r="C216" s="567" t="str">
        <f>C11</f>
        <v>$1482.75/mo</v>
      </c>
      <c r="D216" s="292">
        <v>0</v>
      </c>
      <c r="E216" s="282"/>
    </row>
    <row r="217" spans="1:8" ht="12.75" customHeight="1" x14ac:dyDescent="0.25">
      <c r="A217" s="184"/>
      <c r="B217" s="277" t="s">
        <v>7</v>
      </c>
      <c r="C217" s="284" t="s">
        <v>320</v>
      </c>
      <c r="D217" s="292">
        <v>0</v>
      </c>
      <c r="E217" s="282"/>
    </row>
    <row r="218" spans="1:8" ht="12.75" customHeight="1" x14ac:dyDescent="0.25">
      <c r="A218" s="184"/>
      <c r="B218" s="277" t="s">
        <v>10</v>
      </c>
      <c r="C218" s="278">
        <f>C13</f>
        <v>4.1200000000000001E-2</v>
      </c>
      <c r="D218" s="292">
        <v>0</v>
      </c>
      <c r="E218" s="282"/>
    </row>
    <row r="219" spans="1:8" ht="12.75" customHeight="1" x14ac:dyDescent="0.25">
      <c r="A219" s="184"/>
      <c r="B219" s="277" t="s">
        <v>14</v>
      </c>
      <c r="C219" s="278">
        <f>C14</f>
        <v>2.3099999999999999E-2</v>
      </c>
      <c r="D219" s="292">
        <v>0</v>
      </c>
      <c r="E219" s="282"/>
    </row>
    <row r="220" spans="1:8" ht="12.75" customHeight="1" x14ac:dyDescent="0.25">
      <c r="A220" s="184"/>
      <c r="B220" s="277" t="s">
        <v>11</v>
      </c>
      <c r="C220" s="278">
        <f>C15</f>
        <v>1.2E-2</v>
      </c>
      <c r="D220" s="292">
        <v>0</v>
      </c>
      <c r="E220" s="282"/>
    </row>
    <row r="221" spans="1:8" ht="12.75" customHeight="1" x14ac:dyDescent="0.25">
      <c r="A221" s="184"/>
      <c r="B221" s="285" t="s">
        <v>213</v>
      </c>
      <c r="C221" s="283" t="s">
        <v>335</v>
      </c>
      <c r="D221" s="292">
        <v>0</v>
      </c>
      <c r="E221" s="282"/>
    </row>
    <row r="222" spans="1:8" ht="12.75" customHeight="1" x14ac:dyDescent="0.25">
      <c r="A222" s="184"/>
      <c r="B222" s="277" t="s">
        <v>587</v>
      </c>
      <c r="C222" s="278">
        <v>1.4500000000000001E-2</v>
      </c>
      <c r="D222" s="292">
        <v>0</v>
      </c>
      <c r="E222" s="282"/>
    </row>
    <row r="223" spans="1:8" ht="12.75" customHeight="1" x14ac:dyDescent="0.25">
      <c r="A223" s="184"/>
      <c r="B223" s="277" t="s">
        <v>107</v>
      </c>
      <c r="C223" s="288"/>
      <c r="D223" s="292">
        <v>0</v>
      </c>
      <c r="E223" s="282"/>
      <c r="G223" s="236"/>
    </row>
    <row r="224" spans="1:8" ht="12.75" customHeight="1" thickBot="1" x14ac:dyDescent="0.3">
      <c r="A224" s="305"/>
      <c r="B224" s="306"/>
      <c r="C224" s="307"/>
      <c r="D224" s="308"/>
      <c r="E224" s="680">
        <v>1104122.8700000001</v>
      </c>
      <c r="G224" s="236">
        <f>'Sched-B1'!C16+'Sched-B1'!D16</f>
        <v>1104122.8700000001</v>
      </c>
      <c r="H224" s="295">
        <f>E224-G224</f>
        <v>0</v>
      </c>
    </row>
    <row r="225" spans="1:8" ht="19.5" customHeight="1" thickBot="1" x14ac:dyDescent="0.3">
      <c r="A225" s="982" t="s">
        <v>21</v>
      </c>
      <c r="B225" s="983"/>
      <c r="C225" s="983"/>
      <c r="D225" s="328"/>
      <c r="E225" s="682">
        <f>SUM(E224,E207,E190,E173,E156,E139,E122,E105,E88,E54,E37,E20+E71)</f>
        <v>54779071.469999999</v>
      </c>
      <c r="G225" s="236">
        <f>SUM(G3:G224)</f>
        <v>54779071.469999999</v>
      </c>
    </row>
    <row r="226" spans="1:8" ht="15.75" thickTop="1" x14ac:dyDescent="0.25">
      <c r="A226" s="209"/>
      <c r="B226" s="309"/>
      <c r="C226" s="310"/>
      <c r="D226" s="210"/>
      <c r="E226" s="311"/>
      <c r="G226" s="236">
        <f>'Sched-B1'!C17+'Sched-B1'!D17</f>
        <v>54779071.469999999</v>
      </c>
    </row>
    <row r="227" spans="1:8" x14ac:dyDescent="0.25">
      <c r="A227" s="568" t="s">
        <v>960</v>
      </c>
      <c r="B227" s="309"/>
      <c r="C227" s="310"/>
      <c r="D227" s="210"/>
      <c r="E227" s="311"/>
      <c r="G227" s="236">
        <f>G225-G226</f>
        <v>0</v>
      </c>
      <c r="H227" s="228" t="s">
        <v>438</v>
      </c>
    </row>
    <row r="228" spans="1:8" x14ac:dyDescent="0.25">
      <c r="B228" s="309"/>
      <c r="C228" s="310"/>
      <c r="D228" s="210"/>
      <c r="E228" s="311"/>
    </row>
    <row r="229" spans="1:8" x14ac:dyDescent="0.25">
      <c r="A229" s="211"/>
      <c r="B229" s="309"/>
      <c r="C229" s="310"/>
      <c r="D229" s="210"/>
      <c r="E229" s="311"/>
    </row>
    <row r="230" spans="1:8" x14ac:dyDescent="0.25">
      <c r="B230" s="309"/>
      <c r="C230" s="310"/>
      <c r="D230" s="210"/>
      <c r="E230" s="311"/>
    </row>
    <row r="231" spans="1:8" x14ac:dyDescent="0.25">
      <c r="B231" s="309"/>
      <c r="C231" s="310"/>
      <c r="D231" s="210"/>
      <c r="E231" s="311"/>
    </row>
    <row r="232" spans="1:8" x14ac:dyDescent="0.25">
      <c r="B232" s="309"/>
      <c r="C232" s="310"/>
      <c r="D232" s="210"/>
      <c r="E232" s="311"/>
    </row>
    <row r="233" spans="1:8" x14ac:dyDescent="0.25">
      <c r="B233" s="309"/>
      <c r="C233" s="310"/>
      <c r="D233" s="210"/>
      <c r="E233" s="311"/>
    </row>
    <row r="234" spans="1:8" x14ac:dyDescent="0.25">
      <c r="B234" s="309"/>
      <c r="C234" s="310"/>
      <c r="D234" s="210"/>
      <c r="E234" s="311"/>
    </row>
    <row r="235" spans="1:8" x14ac:dyDescent="0.25">
      <c r="B235" s="309"/>
      <c r="C235" s="310"/>
      <c r="D235" s="210"/>
      <c r="E235" s="311"/>
    </row>
    <row r="236" spans="1:8" x14ac:dyDescent="0.25">
      <c r="D236" s="312"/>
      <c r="E236" s="312"/>
    </row>
    <row r="237" spans="1:8" x14ac:dyDescent="0.25">
      <c r="A237" s="313"/>
      <c r="D237" s="312"/>
      <c r="E237" s="312"/>
    </row>
    <row r="238" spans="1:8" x14ac:dyDescent="0.25">
      <c r="D238" s="312"/>
      <c r="E238" s="312"/>
    </row>
    <row r="239" spans="1:8" x14ac:dyDescent="0.25">
      <c r="D239" s="312"/>
      <c r="E239" s="312"/>
    </row>
    <row r="240" spans="1:8" x14ac:dyDescent="0.25">
      <c r="D240" s="312"/>
      <c r="E240" s="312"/>
    </row>
    <row r="241" spans="4:5" x14ac:dyDescent="0.25">
      <c r="D241" s="312"/>
      <c r="E241" s="312"/>
    </row>
    <row r="242" spans="4:5" x14ac:dyDescent="0.25">
      <c r="D242" s="312"/>
      <c r="E242" s="312"/>
    </row>
    <row r="243" spans="4:5" x14ac:dyDescent="0.25">
      <c r="D243" s="312"/>
      <c r="E243" s="312"/>
    </row>
    <row r="244" spans="4:5" x14ac:dyDescent="0.25">
      <c r="D244" s="312"/>
      <c r="E244" s="312"/>
    </row>
    <row r="245" spans="4:5" x14ac:dyDescent="0.25">
      <c r="D245" s="312"/>
      <c r="E245" s="312"/>
    </row>
    <row r="246" spans="4:5" x14ac:dyDescent="0.25">
      <c r="D246" s="312"/>
      <c r="E246" s="312"/>
    </row>
    <row r="247" spans="4:5" x14ac:dyDescent="0.25">
      <c r="D247" s="312"/>
      <c r="E247" s="312"/>
    </row>
    <row r="248" spans="4:5" x14ac:dyDescent="0.25">
      <c r="D248" s="312"/>
      <c r="E248" s="312"/>
    </row>
    <row r="249" spans="4:5" x14ac:dyDescent="0.25">
      <c r="D249" s="312"/>
      <c r="E249" s="312"/>
    </row>
    <row r="250" spans="4:5" x14ac:dyDescent="0.25">
      <c r="D250" s="312"/>
      <c r="E250" s="312"/>
    </row>
    <row r="251" spans="4:5" x14ac:dyDescent="0.25">
      <c r="D251" s="312"/>
      <c r="E251" s="312"/>
    </row>
    <row r="252" spans="4:5" x14ac:dyDescent="0.25">
      <c r="D252" s="312"/>
      <c r="E252" s="312"/>
    </row>
    <row r="253" spans="4:5" x14ac:dyDescent="0.25">
      <c r="D253" s="312"/>
      <c r="E253" s="312"/>
    </row>
    <row r="254" spans="4:5" x14ac:dyDescent="0.25">
      <c r="D254" s="312"/>
      <c r="E254" s="312"/>
    </row>
    <row r="255" spans="4:5" x14ac:dyDescent="0.25">
      <c r="D255" s="312"/>
      <c r="E255" s="312"/>
    </row>
    <row r="256" spans="4:5" x14ac:dyDescent="0.25">
      <c r="D256" s="312"/>
      <c r="E256" s="312"/>
    </row>
    <row r="257" spans="4:5" x14ac:dyDescent="0.25">
      <c r="D257" s="312"/>
      <c r="E257" s="312"/>
    </row>
    <row r="258" spans="4:5" x14ac:dyDescent="0.25">
      <c r="D258" s="312"/>
      <c r="E258" s="312"/>
    </row>
    <row r="259" spans="4:5" x14ac:dyDescent="0.25">
      <c r="D259" s="312"/>
      <c r="E259" s="312"/>
    </row>
    <row r="260" spans="4:5" x14ac:dyDescent="0.25">
      <c r="D260" s="312"/>
      <c r="E260" s="312"/>
    </row>
    <row r="261" spans="4:5" x14ac:dyDescent="0.25">
      <c r="D261" s="312"/>
      <c r="E261" s="312"/>
    </row>
    <row r="262" spans="4:5" x14ac:dyDescent="0.25">
      <c r="D262" s="312"/>
      <c r="E262" s="312"/>
    </row>
    <row r="263" spans="4:5" x14ac:dyDescent="0.25">
      <c r="D263" s="312"/>
      <c r="E263" s="312"/>
    </row>
    <row r="264" spans="4:5" x14ac:dyDescent="0.25">
      <c r="D264" s="312"/>
      <c r="E264" s="312"/>
    </row>
    <row r="265" spans="4:5" x14ac:dyDescent="0.25">
      <c r="D265" s="312"/>
      <c r="E265" s="312"/>
    </row>
    <row r="266" spans="4:5" x14ac:dyDescent="0.25">
      <c r="D266" s="312"/>
      <c r="E266" s="312"/>
    </row>
    <row r="267" spans="4:5" x14ac:dyDescent="0.25">
      <c r="D267" s="312"/>
      <c r="E267" s="312"/>
    </row>
    <row r="268" spans="4:5" x14ac:dyDescent="0.25">
      <c r="D268" s="312"/>
      <c r="E268" s="312"/>
    </row>
    <row r="269" spans="4:5" x14ac:dyDescent="0.25">
      <c r="D269" s="312"/>
      <c r="E269" s="312"/>
    </row>
    <row r="270" spans="4:5" x14ac:dyDescent="0.25">
      <c r="D270" s="312"/>
      <c r="E270" s="312"/>
    </row>
    <row r="271" spans="4:5" x14ac:dyDescent="0.25">
      <c r="D271" s="312"/>
      <c r="E271" s="312"/>
    </row>
    <row r="272" spans="4:5" x14ac:dyDescent="0.25">
      <c r="D272" s="312"/>
      <c r="E272" s="312"/>
    </row>
    <row r="273" spans="4:5" x14ac:dyDescent="0.25">
      <c r="D273" s="312"/>
      <c r="E273" s="312"/>
    </row>
    <row r="274" spans="4:5" x14ac:dyDescent="0.25">
      <c r="D274" s="312"/>
      <c r="E274" s="312"/>
    </row>
  </sheetData>
  <mergeCells count="2">
    <mergeCell ref="A1:E1"/>
    <mergeCell ref="A225:C225"/>
  </mergeCells>
  <phoneticPr fontId="21" type="noConversion"/>
  <printOptions horizontalCentered="1"/>
  <pageMargins left="0.25" right="0.25" top="1.25" bottom="0.5" header="0.3" footer="0.3"/>
  <pageSetup orientation="portrait" r:id="rId1"/>
  <headerFooter alignWithMargins="0">
    <oddHeader>&amp;C&amp;"Arial,Bold"&amp;12DEPARTMENT OF CORRECTIONS
 COST OF CARE Year 2019
(Based on Fiscal Year 2018 Actuals)</oddHeader>
    <oddFooter>&amp;L&amp;8&amp;F &amp;A&amp;R&amp;8&amp;D &amp;T</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G27"/>
  <sheetViews>
    <sheetView showGridLines="0" workbookViewId="0">
      <pane xSplit="1" ySplit="2" topLeftCell="B9" activePane="bottomRight" state="frozen"/>
      <selection activeCell="B35" sqref="B35"/>
      <selection pane="topRight" activeCell="B35" sqref="B35"/>
      <selection pane="bottomLeft" activeCell="B35" sqref="B35"/>
      <selection pane="bottomRight" activeCell="A3" sqref="A3"/>
    </sheetView>
  </sheetViews>
  <sheetFormatPr defaultColWidth="9.140625" defaultRowHeight="12.75" x14ac:dyDescent="0.2"/>
  <cols>
    <col min="1" max="1" width="27" style="179" customWidth="1"/>
    <col min="2" max="2" width="31.42578125" style="179" bestFit="1" customWidth="1"/>
    <col min="3" max="3" width="13" style="179" customWidth="1"/>
    <col min="4" max="4" width="18.85546875" style="179" bestFit="1" customWidth="1"/>
    <col min="5" max="5" width="10.7109375" style="261" customWidth="1"/>
    <col min="6" max="6" width="17.7109375" style="179" customWidth="1"/>
    <col min="7" max="7" width="13.5703125" style="179" customWidth="1"/>
    <col min="8" max="16384" width="9.140625" style="179"/>
  </cols>
  <sheetData>
    <row r="1" spans="1:7" ht="31.5" customHeight="1" thickBot="1" x14ac:dyDescent="0.25">
      <c r="A1" s="970" t="s">
        <v>109</v>
      </c>
      <c r="B1" s="970"/>
      <c r="C1" s="970"/>
      <c r="D1" s="970"/>
    </row>
    <row r="2" spans="1:7" ht="33" thickTop="1" thickBot="1" x14ac:dyDescent="0.3">
      <c r="A2" s="333" t="s">
        <v>30</v>
      </c>
      <c r="B2" s="334" t="s">
        <v>31</v>
      </c>
      <c r="C2" s="334" t="s">
        <v>32</v>
      </c>
      <c r="D2" s="335" t="s">
        <v>871</v>
      </c>
      <c r="E2" s="614" t="s">
        <v>589</v>
      </c>
      <c r="F2" s="314"/>
    </row>
    <row r="3" spans="1:7" ht="16.5" thickTop="1" x14ac:dyDescent="0.25">
      <c r="A3" s="272" t="s">
        <v>33</v>
      </c>
      <c r="B3" s="267" t="s">
        <v>34</v>
      </c>
      <c r="C3" s="254">
        <f>27+5+8</f>
        <v>40</v>
      </c>
      <c r="D3" s="191">
        <v>18708633.379999999</v>
      </c>
      <c r="E3" s="261">
        <v>3041</v>
      </c>
      <c r="F3" s="226"/>
    </row>
    <row r="4" spans="1:7" ht="15.75" x14ac:dyDescent="0.25">
      <c r="A4" s="184"/>
      <c r="B4" s="267" t="s">
        <v>35</v>
      </c>
      <c r="C4" s="254"/>
      <c r="D4" s="191"/>
    </row>
    <row r="5" spans="1:7" ht="15.75" x14ac:dyDescent="0.25">
      <c r="A5" s="184"/>
      <c r="B5" s="267" t="s">
        <v>36</v>
      </c>
      <c r="C5" s="254" t="s">
        <v>103</v>
      </c>
      <c r="D5" s="315"/>
    </row>
    <row r="6" spans="1:7" ht="15.75" x14ac:dyDescent="0.25">
      <c r="A6" s="184"/>
      <c r="B6" s="267" t="s">
        <v>35</v>
      </c>
      <c r="C6" s="254"/>
      <c r="D6" s="191"/>
    </row>
    <row r="7" spans="1:7" ht="15.75" x14ac:dyDescent="0.25">
      <c r="A7" s="184"/>
      <c r="B7" s="267" t="s">
        <v>0</v>
      </c>
      <c r="C7" s="254"/>
      <c r="D7" s="191"/>
    </row>
    <row r="8" spans="1:7" ht="15.75" x14ac:dyDescent="0.25">
      <c r="A8" s="272" t="s">
        <v>37</v>
      </c>
      <c r="B8" s="267" t="s">
        <v>38</v>
      </c>
      <c r="C8" s="254">
        <f>6</f>
        <v>6</v>
      </c>
      <c r="D8" s="191">
        <v>331963.93</v>
      </c>
      <c r="E8" s="261">
        <v>3042</v>
      </c>
      <c r="F8" s="226"/>
    </row>
    <row r="9" spans="1:7" ht="15.75" x14ac:dyDescent="0.25">
      <c r="A9" s="184"/>
      <c r="B9" s="267" t="s">
        <v>39</v>
      </c>
      <c r="C9" s="254"/>
      <c r="D9" s="191"/>
    </row>
    <row r="10" spans="1:7" ht="15.75" x14ac:dyDescent="0.25">
      <c r="A10" s="184" t="s">
        <v>0</v>
      </c>
      <c r="B10" s="267" t="s">
        <v>110</v>
      </c>
      <c r="C10" s="254" t="s">
        <v>103</v>
      </c>
      <c r="D10" s="191"/>
    </row>
    <row r="11" spans="1:7" ht="15.75" x14ac:dyDescent="0.25">
      <c r="A11" s="184"/>
      <c r="B11" s="267" t="s">
        <v>39</v>
      </c>
      <c r="C11" s="254"/>
      <c r="D11" s="191"/>
    </row>
    <row r="12" spans="1:7" ht="15.75" x14ac:dyDescent="0.25">
      <c r="A12" s="184"/>
      <c r="B12" s="267" t="s">
        <v>0</v>
      </c>
      <c r="C12" s="254"/>
      <c r="D12" s="191"/>
    </row>
    <row r="13" spans="1:7" ht="15.75" x14ac:dyDescent="0.25">
      <c r="A13" s="272" t="s">
        <v>40</v>
      </c>
      <c r="B13" s="267" t="s">
        <v>34</v>
      </c>
      <c r="C13" s="254">
        <f>1+1+23</f>
        <v>25</v>
      </c>
      <c r="D13" s="316">
        <f>1471183.32+1890942.96+22078.83+101430.35</f>
        <v>3485635.4600000004</v>
      </c>
      <c r="E13" s="261">
        <v>3040</v>
      </c>
      <c r="F13" s="317" t="s">
        <v>686</v>
      </c>
      <c r="G13" s="179" t="s">
        <v>872</v>
      </c>
    </row>
    <row r="14" spans="1:7" ht="15.75" x14ac:dyDescent="0.25">
      <c r="A14" s="184"/>
      <c r="B14" s="267" t="s">
        <v>41</v>
      </c>
      <c r="C14" s="254"/>
      <c r="D14" s="191"/>
      <c r="G14" s="336">
        <f>68500+106200</f>
        <v>174700</v>
      </c>
    </row>
    <row r="15" spans="1:7" ht="15.75" x14ac:dyDescent="0.25">
      <c r="A15" s="184"/>
      <c r="B15" s="267" t="s">
        <v>42</v>
      </c>
      <c r="C15" s="254"/>
      <c r="D15" s="191"/>
    </row>
    <row r="16" spans="1:7" ht="15.75" x14ac:dyDescent="0.25">
      <c r="A16" s="184"/>
      <c r="B16" s="267" t="s">
        <v>0</v>
      </c>
      <c r="C16" s="254"/>
      <c r="D16" s="191"/>
      <c r="F16" s="226"/>
    </row>
    <row r="17" spans="1:6" ht="15.75" x14ac:dyDescent="0.25">
      <c r="A17" s="272" t="s">
        <v>43</v>
      </c>
      <c r="B17" s="267" t="s">
        <v>38</v>
      </c>
      <c r="C17" s="254">
        <f>3+12+2</f>
        <v>17</v>
      </c>
      <c r="D17" s="191">
        <f>4408983.87-1471183.32-1890942.96</f>
        <v>1046857.5899999999</v>
      </c>
      <c r="E17" s="261">
        <v>3040</v>
      </c>
      <c r="F17" s="226"/>
    </row>
    <row r="18" spans="1:6" ht="15.75" x14ac:dyDescent="0.25">
      <c r="A18" s="272" t="s">
        <v>44</v>
      </c>
      <c r="B18" s="267" t="s">
        <v>45</v>
      </c>
      <c r="C18" s="254"/>
      <c r="D18" s="191"/>
      <c r="F18" s="226"/>
    </row>
    <row r="19" spans="1:6" ht="15.75" x14ac:dyDescent="0.25">
      <c r="A19" s="184"/>
      <c r="B19" s="267" t="s">
        <v>46</v>
      </c>
      <c r="C19" s="254"/>
      <c r="D19" s="191"/>
    </row>
    <row r="20" spans="1:6" ht="15.75" x14ac:dyDescent="0.25">
      <c r="A20" s="208"/>
      <c r="B20" s="267" t="s">
        <v>110</v>
      </c>
      <c r="C20" s="318" t="s">
        <v>103</v>
      </c>
      <c r="D20" s="319"/>
    </row>
    <row r="21" spans="1:6" ht="15.75" x14ac:dyDescent="0.25">
      <c r="A21" s="208"/>
      <c r="B21" s="267" t="s">
        <v>45</v>
      </c>
      <c r="C21" s="318"/>
      <c r="D21" s="320"/>
    </row>
    <row r="22" spans="1:6" ht="15.75" x14ac:dyDescent="0.25">
      <c r="A22" s="208"/>
      <c r="B22" s="267" t="s">
        <v>46</v>
      </c>
      <c r="C22" s="318"/>
      <c r="D22" s="320"/>
    </row>
    <row r="23" spans="1:6" ht="16.5" thickBot="1" x14ac:dyDescent="0.3">
      <c r="A23" s="301"/>
      <c r="B23" s="268"/>
      <c r="C23" s="321"/>
      <c r="D23" s="322"/>
    </row>
    <row r="24" spans="1:6" ht="16.5" thickBot="1" x14ac:dyDescent="0.3">
      <c r="A24" s="324" t="s">
        <v>47</v>
      </c>
      <c r="B24" s="325" t="s">
        <v>0</v>
      </c>
      <c r="C24" s="326">
        <f>SUM(C3:C23)</f>
        <v>88</v>
      </c>
      <c r="D24" s="858">
        <f>SUM(D3:D23)</f>
        <v>23573090.359999999</v>
      </c>
      <c r="F24" s="226"/>
    </row>
    <row r="25" spans="1:6" ht="13.5" thickTop="1" x14ac:dyDescent="0.2">
      <c r="A25" s="323"/>
    </row>
    <row r="26" spans="1:6" x14ac:dyDescent="0.2">
      <c r="A26" s="339" t="s">
        <v>873</v>
      </c>
    </row>
    <row r="27" spans="1:6" x14ac:dyDescent="0.2">
      <c r="A27" s="179" t="s">
        <v>0</v>
      </c>
    </row>
  </sheetData>
  <mergeCells count="1">
    <mergeCell ref="A1:D1"/>
  </mergeCells>
  <phoneticPr fontId="21" type="noConversion"/>
  <printOptions horizontalCentered="1"/>
  <pageMargins left="0.75" right="0.75" top="1.25" bottom="1" header="0.33" footer="0.5"/>
  <pageSetup orientation="portrait" r:id="rId1"/>
  <headerFooter alignWithMargins="0">
    <oddHeader>&amp;C&amp;"Arial,Bold"&amp;12DEPARTMENT OF CORRECTIONS
 COST OF CARE Year 2019
(Based on Fiscal Year 2018 Actuals)</oddHeader>
    <oddFooter>&amp;L&amp;8&amp;F &amp;A&amp;R&amp;8&amp;D &amp;T</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K682"/>
  <sheetViews>
    <sheetView showGridLines="0" zoomScaleNormal="100" workbookViewId="0">
      <pane ySplit="2" topLeftCell="A576" activePane="bottomLeft" state="frozen"/>
      <selection pane="bottomLeft" activeCell="F447" sqref="F447"/>
    </sheetView>
  </sheetViews>
  <sheetFormatPr defaultColWidth="9.140625" defaultRowHeight="12.75" x14ac:dyDescent="0.2"/>
  <cols>
    <col min="1" max="1" width="24.85546875" style="683" customWidth="1"/>
    <col min="2" max="2" width="5.7109375" style="683" customWidth="1"/>
    <col min="3" max="3" width="25.42578125" style="683" bestFit="1" customWidth="1"/>
    <col min="4" max="4" width="15.42578125" style="718" customWidth="1"/>
    <col min="5" max="5" width="14.85546875" style="718" customWidth="1"/>
    <col min="6" max="6" width="19.5703125" style="718" customWidth="1"/>
    <col min="7" max="7" width="11.28515625" style="683" customWidth="1"/>
    <col min="8" max="8" width="15.7109375" style="683" customWidth="1"/>
    <col min="9" max="9" width="11.7109375" style="683" customWidth="1"/>
    <col min="10" max="10" width="9.140625" style="683"/>
    <col min="11" max="11" width="14.5703125" style="683" customWidth="1"/>
    <col min="12" max="16384" width="9.140625" style="683"/>
  </cols>
  <sheetData>
    <row r="1" spans="1:8" ht="33" customHeight="1" thickBot="1" x14ac:dyDescent="0.25">
      <c r="A1" s="988" t="s">
        <v>111</v>
      </c>
      <c r="B1" s="988"/>
      <c r="C1" s="988"/>
      <c r="D1" s="988"/>
      <c r="E1" s="988"/>
      <c r="F1" s="988"/>
    </row>
    <row r="2" spans="1:8" ht="15" customHeight="1" thickTop="1" thickBot="1" x14ac:dyDescent="0.25">
      <c r="A2" s="684" t="s">
        <v>1</v>
      </c>
      <c r="B2" s="984" t="s">
        <v>48</v>
      </c>
      <c r="C2" s="985"/>
      <c r="D2" s="986" t="s">
        <v>4</v>
      </c>
      <c r="E2" s="987"/>
      <c r="F2" s="685" t="s">
        <v>26</v>
      </c>
      <c r="G2" s="686" t="s">
        <v>589</v>
      </c>
      <c r="H2" s="687" t="s">
        <v>683</v>
      </c>
    </row>
    <row r="3" spans="1:8" ht="12.75" customHeight="1" thickTop="1" x14ac:dyDescent="0.2">
      <c r="A3" s="688" t="s">
        <v>294</v>
      </c>
      <c r="B3" s="907" t="s">
        <v>860</v>
      </c>
      <c r="C3" s="689"/>
      <c r="D3" s="690"/>
      <c r="E3" s="859">
        <v>1723.13</v>
      </c>
      <c r="F3" s="691"/>
      <c r="G3" s="724" t="s">
        <v>861</v>
      </c>
    </row>
    <row r="4" spans="1:8" ht="12.75" customHeight="1" x14ac:dyDescent="0.2">
      <c r="A4" s="528"/>
      <c r="B4" s="721" t="s">
        <v>590</v>
      </c>
      <c r="C4" s="692"/>
      <c r="D4" s="693">
        <v>388691.42</v>
      </c>
      <c r="E4" s="725">
        <f>SUM(D4:D33)</f>
        <v>1938115.51</v>
      </c>
      <c r="F4" s="693"/>
    </row>
    <row r="5" spans="1:8" ht="12.75" customHeight="1" x14ac:dyDescent="0.2">
      <c r="A5" s="528"/>
      <c r="B5" s="723" t="s">
        <v>591</v>
      </c>
      <c r="C5" s="692"/>
      <c r="D5" s="693"/>
      <c r="E5" s="693"/>
      <c r="F5" s="693"/>
      <c r="G5" s="724" t="s">
        <v>618</v>
      </c>
    </row>
    <row r="6" spans="1:8" ht="12.75" customHeight="1" x14ac:dyDescent="0.2">
      <c r="A6" s="528"/>
      <c r="B6" s="723" t="s">
        <v>592</v>
      </c>
      <c r="C6" s="692"/>
      <c r="D6" s="693"/>
      <c r="E6" s="693"/>
      <c r="F6" s="693"/>
      <c r="G6" s="724" t="s">
        <v>619</v>
      </c>
    </row>
    <row r="7" spans="1:8" ht="12.75" customHeight="1" x14ac:dyDescent="0.2">
      <c r="A7" s="528"/>
      <c r="B7" s="723" t="s">
        <v>593</v>
      </c>
      <c r="C7" s="692"/>
      <c r="D7" s="693"/>
      <c r="E7" s="693"/>
      <c r="F7" s="693"/>
      <c r="G7" s="724" t="s">
        <v>620</v>
      </c>
    </row>
    <row r="8" spans="1:8" ht="12.75" customHeight="1" x14ac:dyDescent="0.2">
      <c r="A8" s="528"/>
      <c r="B8" s="723" t="s">
        <v>594</v>
      </c>
      <c r="C8" s="692"/>
      <c r="D8" s="693"/>
      <c r="E8" s="693"/>
      <c r="F8" s="693"/>
      <c r="G8" s="724" t="s">
        <v>621</v>
      </c>
    </row>
    <row r="9" spans="1:8" ht="12.75" customHeight="1" x14ac:dyDescent="0.2">
      <c r="A9" s="528"/>
      <c r="B9" s="723" t="s">
        <v>595</v>
      </c>
      <c r="C9" s="692"/>
      <c r="D9" s="693"/>
      <c r="E9" s="693"/>
      <c r="F9" s="693"/>
      <c r="G9" s="724" t="s">
        <v>622</v>
      </c>
    </row>
    <row r="10" spans="1:8" ht="12.75" customHeight="1" x14ac:dyDescent="0.2">
      <c r="A10" s="528"/>
      <c r="B10" s="733" t="s">
        <v>50</v>
      </c>
      <c r="C10" s="692"/>
      <c r="D10" s="693">
        <v>1549424.09</v>
      </c>
      <c r="E10" s="693"/>
      <c r="F10" s="693"/>
      <c r="G10" s="724">
        <v>2100</v>
      </c>
      <c r="H10" s="590" t="s">
        <v>870</v>
      </c>
    </row>
    <row r="11" spans="1:8" ht="12.75" customHeight="1" x14ac:dyDescent="0.2">
      <c r="A11" s="528"/>
      <c r="B11" s="723" t="s">
        <v>596</v>
      </c>
      <c r="C11" s="692"/>
      <c r="D11" s="693"/>
      <c r="E11" s="693"/>
      <c r="F11" s="693"/>
      <c r="G11" s="724" t="s">
        <v>623</v>
      </c>
    </row>
    <row r="12" spans="1:8" ht="12.75" customHeight="1" x14ac:dyDescent="0.2">
      <c r="A12" s="528"/>
      <c r="B12" s="723" t="s">
        <v>597</v>
      </c>
      <c r="C12" s="692"/>
      <c r="D12" s="693"/>
      <c r="E12" s="693"/>
      <c r="F12" s="693"/>
      <c r="G12" s="724" t="s">
        <v>624</v>
      </c>
    </row>
    <row r="13" spans="1:8" ht="12.75" customHeight="1" x14ac:dyDescent="0.2">
      <c r="A13" s="528"/>
      <c r="B13" s="723" t="s">
        <v>598</v>
      </c>
      <c r="C13" s="692"/>
      <c r="D13" s="693"/>
      <c r="E13" s="693"/>
      <c r="F13" s="693"/>
      <c r="G13" s="724" t="s">
        <v>625</v>
      </c>
    </row>
    <row r="14" spans="1:8" ht="12.75" customHeight="1" x14ac:dyDescent="0.2">
      <c r="A14" s="528"/>
      <c r="B14" s="723" t="s">
        <v>599</v>
      </c>
      <c r="C14" s="692"/>
      <c r="D14" s="693"/>
      <c r="E14" s="693"/>
      <c r="F14" s="693"/>
      <c r="G14" s="724" t="s">
        <v>626</v>
      </c>
    </row>
    <row r="15" spans="1:8" ht="12.75" customHeight="1" x14ac:dyDescent="0.2">
      <c r="A15" s="528"/>
      <c r="B15" s="723" t="s">
        <v>600</v>
      </c>
      <c r="C15" s="692"/>
      <c r="D15" s="693"/>
      <c r="E15" s="693"/>
      <c r="F15" s="693"/>
      <c r="G15" s="724" t="s">
        <v>627</v>
      </c>
    </row>
    <row r="16" spans="1:8" ht="12.75" customHeight="1" x14ac:dyDescent="0.2">
      <c r="A16" s="528"/>
      <c r="B16" s="723" t="s">
        <v>601</v>
      </c>
      <c r="C16" s="692"/>
      <c r="D16" s="693"/>
      <c r="E16" s="693"/>
      <c r="F16" s="693"/>
      <c r="G16" s="724" t="s">
        <v>628</v>
      </c>
    </row>
    <row r="17" spans="1:8" ht="12.75" customHeight="1" x14ac:dyDescent="0.2">
      <c r="A17" s="528"/>
      <c r="B17" s="723" t="s">
        <v>602</v>
      </c>
      <c r="C17" s="692"/>
      <c r="D17" s="693"/>
      <c r="E17" s="693"/>
      <c r="F17" s="693"/>
      <c r="G17" s="724" t="s">
        <v>629</v>
      </c>
    </row>
    <row r="18" spans="1:8" ht="12.75" customHeight="1" x14ac:dyDescent="0.2">
      <c r="A18" s="528"/>
      <c r="B18" s="723" t="s">
        <v>603</v>
      </c>
      <c r="C18" s="692"/>
      <c r="D18" s="693"/>
      <c r="E18" s="693"/>
      <c r="F18" s="693"/>
      <c r="G18" s="724" t="s">
        <v>630</v>
      </c>
    </row>
    <row r="19" spans="1:8" ht="12.75" customHeight="1" x14ac:dyDescent="0.2">
      <c r="A19" s="528"/>
      <c r="B19" s="723" t="s">
        <v>604</v>
      </c>
      <c r="C19" s="692"/>
      <c r="D19" s="693"/>
      <c r="E19" s="693"/>
      <c r="F19" s="693"/>
      <c r="G19" s="724" t="s">
        <v>631</v>
      </c>
    </row>
    <row r="20" spans="1:8" ht="12.75" customHeight="1" x14ac:dyDescent="0.2">
      <c r="A20" s="528"/>
      <c r="B20" s="723" t="s">
        <v>605</v>
      </c>
      <c r="C20" s="692"/>
      <c r="D20" s="693"/>
      <c r="E20" s="693"/>
      <c r="F20" s="693"/>
      <c r="G20" s="724" t="s">
        <v>632</v>
      </c>
    </row>
    <row r="21" spans="1:8" ht="12.75" customHeight="1" x14ac:dyDescent="0.2">
      <c r="A21" s="528"/>
      <c r="B21" s="723" t="s">
        <v>606</v>
      </c>
      <c r="C21" s="692"/>
      <c r="D21" s="693"/>
      <c r="E21" s="693"/>
      <c r="F21" s="693"/>
      <c r="G21" s="724" t="s">
        <v>633</v>
      </c>
    </row>
    <row r="22" spans="1:8" ht="12.75" customHeight="1" x14ac:dyDescent="0.2">
      <c r="A22" s="528"/>
      <c r="B22" s="723" t="s">
        <v>607</v>
      </c>
      <c r="C22" s="692"/>
      <c r="D22" s="693"/>
      <c r="E22" s="693"/>
      <c r="F22" s="693"/>
      <c r="G22" s="724" t="s">
        <v>634</v>
      </c>
    </row>
    <row r="23" spans="1:8" ht="12.75" customHeight="1" x14ac:dyDescent="0.2">
      <c r="A23" s="528"/>
      <c r="B23" s="723" t="s">
        <v>608</v>
      </c>
      <c r="C23" s="692"/>
      <c r="D23" s="693"/>
      <c r="E23" s="693"/>
      <c r="F23" s="693"/>
      <c r="G23" s="724" t="s">
        <v>635</v>
      </c>
    </row>
    <row r="24" spans="1:8" ht="12.75" customHeight="1" x14ac:dyDescent="0.2">
      <c r="A24" s="528"/>
      <c r="B24" s="723" t="s">
        <v>609</v>
      </c>
      <c r="C24" s="692"/>
      <c r="D24" s="693"/>
      <c r="E24" s="693"/>
      <c r="F24" s="693"/>
      <c r="G24" s="724" t="s">
        <v>636</v>
      </c>
    </row>
    <row r="25" spans="1:8" ht="12.75" customHeight="1" x14ac:dyDescent="0.2">
      <c r="A25" s="528"/>
      <c r="B25" s="723" t="s">
        <v>610</v>
      </c>
      <c r="C25" s="692"/>
      <c r="D25" s="693"/>
      <c r="E25" s="693"/>
      <c r="F25" s="693"/>
      <c r="G25" s="724" t="s">
        <v>637</v>
      </c>
    </row>
    <row r="26" spans="1:8" ht="12.75" customHeight="1" x14ac:dyDescent="0.2">
      <c r="A26" s="528"/>
      <c r="B26" s="723" t="s">
        <v>611</v>
      </c>
      <c r="C26" s="692"/>
      <c r="D26" s="693"/>
      <c r="E26" s="693"/>
      <c r="F26" s="693"/>
      <c r="G26" s="724" t="s">
        <v>638</v>
      </c>
    </row>
    <row r="27" spans="1:8" ht="12.75" customHeight="1" x14ac:dyDescent="0.2">
      <c r="A27" s="528"/>
      <c r="B27" s="723" t="s">
        <v>612</v>
      </c>
      <c r="C27" s="692"/>
      <c r="D27" s="693"/>
      <c r="E27" s="693"/>
      <c r="F27" s="693"/>
      <c r="G27" s="724" t="s">
        <v>639</v>
      </c>
    </row>
    <row r="28" spans="1:8" ht="12.75" customHeight="1" x14ac:dyDescent="0.2">
      <c r="A28" s="528"/>
      <c r="B28" s="723" t="s">
        <v>613</v>
      </c>
      <c r="C28" s="692"/>
      <c r="D28" s="693"/>
      <c r="E28" s="693"/>
      <c r="F28" s="693"/>
      <c r="G28" s="724" t="s">
        <v>640</v>
      </c>
    </row>
    <row r="29" spans="1:8" ht="12.75" customHeight="1" x14ac:dyDescent="0.2">
      <c r="A29" s="528"/>
      <c r="B29" s="723" t="s">
        <v>614</v>
      </c>
      <c r="C29" s="692"/>
      <c r="D29" s="693"/>
      <c r="E29" s="693"/>
      <c r="F29" s="693"/>
      <c r="G29" s="724" t="s">
        <v>641</v>
      </c>
    </row>
    <row r="30" spans="1:8" ht="12.75" customHeight="1" x14ac:dyDescent="0.2">
      <c r="A30" s="528"/>
      <c r="B30" s="723" t="s">
        <v>615</v>
      </c>
      <c r="C30" s="692"/>
      <c r="D30" s="693"/>
      <c r="E30" s="693"/>
      <c r="F30" s="693"/>
      <c r="G30" s="724" t="s">
        <v>642</v>
      </c>
      <c r="H30" s="695"/>
    </row>
    <row r="31" spans="1:8" ht="12.75" customHeight="1" x14ac:dyDescent="0.2">
      <c r="A31" s="528"/>
      <c r="B31" s="723" t="s">
        <v>616</v>
      </c>
      <c r="C31" s="692"/>
      <c r="D31" s="693"/>
      <c r="E31" s="693"/>
      <c r="F31" s="693"/>
      <c r="G31" s="724" t="s">
        <v>643</v>
      </c>
    </row>
    <row r="32" spans="1:8" ht="12.75" customHeight="1" x14ac:dyDescent="0.2">
      <c r="A32" s="528"/>
      <c r="B32" s="723" t="s">
        <v>617</v>
      </c>
      <c r="C32" s="692"/>
      <c r="D32" s="693"/>
      <c r="E32" s="693"/>
      <c r="F32" s="693"/>
      <c r="G32" s="724" t="s">
        <v>644</v>
      </c>
      <c r="H32" s="695"/>
    </row>
    <row r="33" spans="1:9" ht="12.75" customHeight="1" x14ac:dyDescent="0.2">
      <c r="A33" s="528"/>
      <c r="B33" s="694"/>
      <c r="C33" s="722"/>
      <c r="D33" s="693"/>
      <c r="E33" s="693"/>
      <c r="F33" s="693"/>
    </row>
    <row r="34" spans="1:9" ht="12.75" customHeight="1" x14ac:dyDescent="0.2">
      <c r="A34" s="528"/>
      <c r="B34" s="726" t="s">
        <v>303</v>
      </c>
      <c r="D34" s="693">
        <v>571257.71</v>
      </c>
      <c r="E34" s="725">
        <f>SUM(D34)</f>
        <v>571257.71</v>
      </c>
      <c r="F34" s="693"/>
      <c r="G34" s="683">
        <v>3001</v>
      </c>
      <c r="H34" s="695"/>
    </row>
    <row r="35" spans="1:9" ht="12.75" customHeight="1" x14ac:dyDescent="0.2">
      <c r="A35" s="528"/>
      <c r="B35" s="727" t="s">
        <v>439</v>
      </c>
      <c r="C35" s="697"/>
      <c r="D35" s="693"/>
      <c r="E35" s="725">
        <f>SUM(D36:D41)</f>
        <v>2626106.4500000002</v>
      </c>
      <c r="F35" s="693"/>
    </row>
    <row r="36" spans="1:9" ht="12.75" customHeight="1" x14ac:dyDescent="0.2">
      <c r="A36" s="528"/>
      <c r="B36" s="694"/>
      <c r="C36" s="696" t="s">
        <v>304</v>
      </c>
      <c r="D36" s="693">
        <v>309946.69</v>
      </c>
      <c r="E36" s="693"/>
      <c r="F36" s="693"/>
      <c r="G36" s="683">
        <v>4000</v>
      </c>
    </row>
    <row r="37" spans="1:9" ht="12.75" customHeight="1" x14ac:dyDescent="0.2">
      <c r="A37" s="528"/>
      <c r="B37" s="694"/>
      <c r="C37" s="696" t="s">
        <v>305</v>
      </c>
      <c r="D37" s="693">
        <v>0</v>
      </c>
      <c r="E37" s="693"/>
      <c r="F37" s="693"/>
    </row>
    <row r="38" spans="1:9" ht="12.75" customHeight="1" x14ac:dyDescent="0.2">
      <c r="A38" s="528"/>
      <c r="B38" s="694"/>
      <c r="C38" s="696" t="s">
        <v>306</v>
      </c>
      <c r="D38" s="693">
        <v>1964915.84</v>
      </c>
      <c r="E38" s="693"/>
      <c r="F38" s="693"/>
      <c r="G38" s="683">
        <v>4002</v>
      </c>
    </row>
    <row r="39" spans="1:9" ht="12.75" customHeight="1" x14ac:dyDescent="0.2">
      <c r="A39" s="528"/>
      <c r="B39" s="694"/>
      <c r="C39" s="696" t="s">
        <v>307</v>
      </c>
      <c r="D39" s="693">
        <v>10874.96</v>
      </c>
      <c r="E39" s="693"/>
      <c r="F39" s="693"/>
      <c r="G39" s="683">
        <v>4003</v>
      </c>
    </row>
    <row r="40" spans="1:9" ht="12.75" customHeight="1" x14ac:dyDescent="0.2">
      <c r="A40" s="528"/>
      <c r="B40" s="694"/>
      <c r="C40" s="697" t="s">
        <v>308</v>
      </c>
      <c r="D40" s="693">
        <v>136217.76999999999</v>
      </c>
      <c r="E40" s="693"/>
      <c r="F40" s="693"/>
      <c r="G40" s="683">
        <v>4004</v>
      </c>
    </row>
    <row r="41" spans="1:9" ht="12.75" customHeight="1" x14ac:dyDescent="0.2">
      <c r="A41" s="528"/>
      <c r="B41" s="694"/>
      <c r="C41" s="697" t="s">
        <v>121</v>
      </c>
      <c r="D41" s="693">
        <v>204151.19</v>
      </c>
      <c r="E41" s="693"/>
      <c r="F41" s="693"/>
      <c r="G41" s="683">
        <v>4005</v>
      </c>
    </row>
    <row r="42" spans="1:9" ht="12.75" customHeight="1" x14ac:dyDescent="0.2">
      <c r="A42" s="698"/>
      <c r="B42" s="727" t="s">
        <v>859</v>
      </c>
      <c r="C42" s="730"/>
      <c r="D42" s="693">
        <v>-60000</v>
      </c>
      <c r="E42" s="725">
        <f>SUM(D42)</f>
        <v>-60000</v>
      </c>
      <c r="F42" s="701"/>
      <c r="G42" s="683">
        <v>4970</v>
      </c>
    </row>
    <row r="43" spans="1:9" ht="12.75" customHeight="1" x14ac:dyDescent="0.2">
      <c r="A43" s="698"/>
      <c r="B43" s="729" t="s">
        <v>310</v>
      </c>
      <c r="D43" s="693">
        <v>0</v>
      </c>
      <c r="E43" s="728">
        <f>D43</f>
        <v>0</v>
      </c>
      <c r="F43" s="701"/>
      <c r="G43" s="683">
        <v>5000</v>
      </c>
    </row>
    <row r="44" spans="1:9" ht="12.75" customHeight="1" thickBot="1" x14ac:dyDescent="0.25">
      <c r="A44" s="702"/>
      <c r="B44" s="703"/>
      <c r="C44" s="704"/>
      <c r="D44" s="705"/>
      <c r="E44" s="706"/>
      <c r="F44" s="731">
        <f>SUM(E3:E43)</f>
        <v>5077202.8</v>
      </c>
      <c r="H44" s="707">
        <f>'Sched-B1'!B4+'Sched-B2'!E20+'Sched-D1'!F44-31020701.91-1549424.09</f>
        <v>0</v>
      </c>
    </row>
    <row r="45" spans="1:9" ht="12.75" customHeight="1" x14ac:dyDescent="0.2">
      <c r="A45" s="688" t="s">
        <v>646</v>
      </c>
      <c r="B45" s="907" t="s">
        <v>860</v>
      </c>
      <c r="C45" s="689"/>
      <c r="D45" s="690"/>
      <c r="E45" s="859">
        <f>14794.74+33</f>
        <v>14827.74</v>
      </c>
      <c r="F45" s="691"/>
    </row>
    <row r="46" spans="1:9" ht="12.75" customHeight="1" x14ac:dyDescent="0.2">
      <c r="A46" s="528"/>
      <c r="B46" s="721" t="s">
        <v>590</v>
      </c>
      <c r="C46" s="692"/>
      <c r="D46" s="693">
        <v>144197.14000000001</v>
      </c>
      <c r="E46" s="725">
        <f>SUM(D46:D78)</f>
        <v>477209.86</v>
      </c>
      <c r="F46" s="693"/>
      <c r="H46" s="695">
        <f>E46+31113</f>
        <v>508322.86</v>
      </c>
    </row>
    <row r="47" spans="1:9" ht="12.75" customHeight="1" x14ac:dyDescent="0.2">
      <c r="A47" s="528"/>
      <c r="B47" s="733" t="s">
        <v>231</v>
      </c>
      <c r="C47" s="590"/>
      <c r="D47" s="734">
        <v>-31113</v>
      </c>
      <c r="E47" s="693"/>
      <c r="F47" s="693"/>
      <c r="H47" s="695">
        <f>H46-E46</f>
        <v>31113</v>
      </c>
      <c r="I47" s="683" t="s">
        <v>799</v>
      </c>
    </row>
    <row r="48" spans="1:9" ht="12.75" customHeight="1" x14ac:dyDescent="0.2">
      <c r="A48" s="528"/>
      <c r="B48" s="723" t="s">
        <v>591</v>
      </c>
      <c r="C48" s="692"/>
      <c r="D48" s="693"/>
      <c r="E48" s="693"/>
      <c r="F48" s="693"/>
      <c r="G48" s="724" t="s">
        <v>618</v>
      </c>
    </row>
    <row r="49" spans="1:7" ht="12.75" customHeight="1" x14ac:dyDescent="0.2">
      <c r="A49" s="528"/>
      <c r="B49" s="723" t="s">
        <v>592</v>
      </c>
      <c r="C49" s="692"/>
      <c r="D49" s="693"/>
      <c r="E49" s="693"/>
      <c r="F49" s="693"/>
      <c r="G49" s="724" t="s">
        <v>619</v>
      </c>
    </row>
    <row r="50" spans="1:7" ht="12.75" customHeight="1" x14ac:dyDescent="0.2">
      <c r="A50" s="528"/>
      <c r="B50" s="723" t="s">
        <v>593</v>
      </c>
      <c r="C50" s="692"/>
      <c r="D50" s="693"/>
      <c r="E50" s="693"/>
      <c r="F50" s="693"/>
      <c r="G50" s="724" t="s">
        <v>620</v>
      </c>
    </row>
    <row r="51" spans="1:7" ht="12.75" customHeight="1" x14ac:dyDescent="0.2">
      <c r="A51" s="528"/>
      <c r="B51" s="723" t="s">
        <v>594</v>
      </c>
      <c r="C51" s="692"/>
      <c r="D51" s="693"/>
      <c r="E51" s="693"/>
      <c r="F51" s="693"/>
      <c r="G51" s="724" t="s">
        <v>621</v>
      </c>
    </row>
    <row r="52" spans="1:7" ht="12.75" customHeight="1" x14ac:dyDescent="0.2">
      <c r="A52" s="528"/>
      <c r="B52" s="723" t="s">
        <v>595</v>
      </c>
      <c r="C52" s="692"/>
      <c r="D52" s="693"/>
      <c r="E52" s="693"/>
      <c r="F52" s="693"/>
      <c r="G52" s="724" t="s">
        <v>622</v>
      </c>
    </row>
    <row r="53" spans="1:7" ht="12.75" customHeight="1" x14ac:dyDescent="0.2">
      <c r="A53" s="528"/>
      <c r="B53" s="733" t="s">
        <v>50</v>
      </c>
      <c r="C53" s="692"/>
      <c r="D53" s="693">
        <v>364125.72</v>
      </c>
      <c r="E53" s="693"/>
      <c r="F53" s="693"/>
      <c r="G53" s="724"/>
    </row>
    <row r="54" spans="1:7" ht="12.75" customHeight="1" x14ac:dyDescent="0.2">
      <c r="A54" s="528"/>
      <c r="B54" s="723" t="s">
        <v>596</v>
      </c>
      <c r="C54" s="692"/>
      <c r="D54" s="693"/>
      <c r="E54" s="693"/>
      <c r="F54" s="693"/>
      <c r="G54" s="724" t="s">
        <v>623</v>
      </c>
    </row>
    <row r="55" spans="1:7" ht="12.75" customHeight="1" x14ac:dyDescent="0.2">
      <c r="A55" s="528"/>
      <c r="B55" s="723" t="s">
        <v>597</v>
      </c>
      <c r="C55" s="692"/>
      <c r="D55" s="693"/>
      <c r="E55" s="693"/>
      <c r="F55" s="693"/>
      <c r="G55" s="724" t="s">
        <v>624</v>
      </c>
    </row>
    <row r="56" spans="1:7" ht="12.75" customHeight="1" x14ac:dyDescent="0.2">
      <c r="A56" s="528"/>
      <c r="B56" s="723" t="s">
        <v>647</v>
      </c>
      <c r="C56" s="692"/>
      <c r="D56" s="693"/>
      <c r="E56" s="693"/>
      <c r="F56" s="693"/>
      <c r="G56" s="724">
        <v>3034</v>
      </c>
    </row>
    <row r="57" spans="1:7" ht="12.75" customHeight="1" x14ac:dyDescent="0.2">
      <c r="A57" s="528"/>
      <c r="B57" s="723" t="s">
        <v>598</v>
      </c>
      <c r="C57" s="692"/>
      <c r="D57" s="693"/>
      <c r="E57" s="693"/>
      <c r="F57" s="693"/>
      <c r="G57" s="724" t="s">
        <v>625</v>
      </c>
    </row>
    <row r="58" spans="1:7" ht="12.75" customHeight="1" x14ac:dyDescent="0.2">
      <c r="A58" s="528"/>
      <c r="B58" s="723" t="s">
        <v>599</v>
      </c>
      <c r="C58" s="692"/>
      <c r="D58" s="693"/>
      <c r="E58" s="693"/>
      <c r="F58" s="693"/>
      <c r="G58" s="724" t="s">
        <v>626</v>
      </c>
    </row>
    <row r="59" spans="1:7" ht="12.75" customHeight="1" x14ac:dyDescent="0.2">
      <c r="A59" s="528"/>
      <c r="B59" s="723" t="s">
        <v>600</v>
      </c>
      <c r="C59" s="692"/>
      <c r="D59" s="693"/>
      <c r="E59" s="693"/>
      <c r="F59" s="693"/>
      <c r="G59" s="724" t="s">
        <v>627</v>
      </c>
    </row>
    <row r="60" spans="1:7" ht="12.75" customHeight="1" x14ac:dyDescent="0.2">
      <c r="A60" s="528"/>
      <c r="B60" s="723" t="s">
        <v>601</v>
      </c>
      <c r="C60" s="692"/>
      <c r="D60" s="693"/>
      <c r="E60" s="693"/>
      <c r="F60" s="693"/>
      <c r="G60" s="724" t="s">
        <v>628</v>
      </c>
    </row>
    <row r="61" spans="1:7" ht="12.75" customHeight="1" x14ac:dyDescent="0.2">
      <c r="A61" s="528"/>
      <c r="B61" s="723" t="s">
        <v>602</v>
      </c>
      <c r="C61" s="692"/>
      <c r="D61" s="693"/>
      <c r="E61" s="693"/>
      <c r="F61" s="693"/>
      <c r="G61" s="724" t="s">
        <v>629</v>
      </c>
    </row>
    <row r="62" spans="1:7" ht="12.75" customHeight="1" x14ac:dyDescent="0.2">
      <c r="A62" s="528"/>
      <c r="B62" s="723" t="s">
        <v>603</v>
      </c>
      <c r="C62" s="692"/>
      <c r="D62" s="693"/>
      <c r="E62" s="693"/>
      <c r="F62" s="693"/>
      <c r="G62" s="724" t="s">
        <v>630</v>
      </c>
    </row>
    <row r="63" spans="1:7" ht="12.75" customHeight="1" x14ac:dyDescent="0.2">
      <c r="A63" s="528"/>
      <c r="B63" s="723" t="s">
        <v>604</v>
      </c>
      <c r="C63" s="692"/>
      <c r="D63" s="693"/>
      <c r="E63" s="693"/>
      <c r="F63" s="693"/>
      <c r="G63" s="724" t="s">
        <v>631</v>
      </c>
    </row>
    <row r="64" spans="1:7" ht="12.75" customHeight="1" x14ac:dyDescent="0.2">
      <c r="A64" s="528"/>
      <c r="B64" s="723" t="s">
        <v>605</v>
      </c>
      <c r="C64" s="692"/>
      <c r="D64" s="693"/>
      <c r="E64" s="693"/>
      <c r="F64" s="693"/>
      <c r="G64" s="724" t="s">
        <v>632</v>
      </c>
    </row>
    <row r="65" spans="1:8" ht="12.75" customHeight="1" x14ac:dyDescent="0.2">
      <c r="A65" s="528"/>
      <c r="B65" s="723" t="s">
        <v>606</v>
      </c>
      <c r="C65" s="692"/>
      <c r="D65" s="693"/>
      <c r="E65" s="693"/>
      <c r="F65" s="693"/>
      <c r="G65" s="724" t="s">
        <v>633</v>
      </c>
    </row>
    <row r="66" spans="1:8" ht="12.75" customHeight="1" x14ac:dyDescent="0.2">
      <c r="A66" s="528"/>
      <c r="B66" s="723" t="s">
        <v>648</v>
      </c>
      <c r="C66" s="692"/>
      <c r="D66" s="693"/>
      <c r="E66" s="693"/>
      <c r="F66" s="693"/>
      <c r="G66" s="724">
        <v>3048</v>
      </c>
    </row>
    <row r="67" spans="1:8" ht="12.75" customHeight="1" x14ac:dyDescent="0.2">
      <c r="A67" s="528"/>
      <c r="B67" s="723" t="s">
        <v>607</v>
      </c>
      <c r="C67" s="692"/>
      <c r="D67" s="693"/>
      <c r="E67" s="693"/>
      <c r="F67" s="693"/>
      <c r="G67" s="724" t="s">
        <v>634</v>
      </c>
    </row>
    <row r="68" spans="1:8" ht="12.75" customHeight="1" x14ac:dyDescent="0.2">
      <c r="A68" s="528"/>
      <c r="B68" s="723" t="s">
        <v>608</v>
      </c>
      <c r="C68" s="692"/>
      <c r="D68" s="693"/>
      <c r="E68" s="693"/>
      <c r="F68" s="693"/>
      <c r="G68" s="724" t="s">
        <v>635</v>
      </c>
    </row>
    <row r="69" spans="1:8" ht="12.75" customHeight="1" x14ac:dyDescent="0.2">
      <c r="A69" s="528"/>
      <c r="B69" s="723" t="s">
        <v>609</v>
      </c>
      <c r="C69" s="692"/>
      <c r="D69" s="693"/>
      <c r="E69" s="693"/>
      <c r="F69" s="693"/>
      <c r="G69" s="724" t="s">
        <v>636</v>
      </c>
    </row>
    <row r="70" spans="1:8" ht="12.75" customHeight="1" x14ac:dyDescent="0.2">
      <c r="A70" s="528"/>
      <c r="B70" s="723" t="s">
        <v>610</v>
      </c>
      <c r="C70" s="692"/>
      <c r="D70" s="693"/>
      <c r="E70" s="693"/>
      <c r="F70" s="693"/>
      <c r="G70" s="724" t="s">
        <v>637</v>
      </c>
    </row>
    <row r="71" spans="1:8" ht="12.75" customHeight="1" x14ac:dyDescent="0.2">
      <c r="A71" s="528"/>
      <c r="B71" s="723" t="s">
        <v>611</v>
      </c>
      <c r="C71" s="692"/>
      <c r="D71" s="693"/>
      <c r="E71" s="693"/>
      <c r="F71" s="693"/>
      <c r="G71" s="724" t="s">
        <v>638</v>
      </c>
    </row>
    <row r="72" spans="1:8" ht="12.75" customHeight="1" x14ac:dyDescent="0.2">
      <c r="A72" s="528"/>
      <c r="B72" s="723" t="s">
        <v>612</v>
      </c>
      <c r="C72" s="692"/>
      <c r="D72" s="693"/>
      <c r="E72" s="693"/>
      <c r="F72" s="693"/>
      <c r="G72" s="724" t="s">
        <v>639</v>
      </c>
    </row>
    <row r="73" spans="1:8" ht="12.75" customHeight="1" x14ac:dyDescent="0.2">
      <c r="A73" s="528"/>
      <c r="B73" s="723" t="s">
        <v>649</v>
      </c>
      <c r="C73" s="692"/>
      <c r="D73" s="693"/>
      <c r="E73" s="693"/>
      <c r="F73" s="693"/>
      <c r="G73" s="724">
        <v>3061</v>
      </c>
    </row>
    <row r="74" spans="1:8" ht="12.75" customHeight="1" x14ac:dyDescent="0.2">
      <c r="A74" s="528"/>
      <c r="B74" s="723" t="s">
        <v>613</v>
      </c>
      <c r="C74" s="692"/>
      <c r="D74" s="693"/>
      <c r="E74" s="693"/>
      <c r="F74" s="693"/>
      <c r="G74" s="724" t="s">
        <v>640</v>
      </c>
    </row>
    <row r="75" spans="1:8" ht="12.75" customHeight="1" x14ac:dyDescent="0.2">
      <c r="A75" s="528"/>
      <c r="B75" s="723" t="s">
        <v>614</v>
      </c>
      <c r="C75" s="692"/>
      <c r="D75" s="693"/>
      <c r="E75" s="693"/>
      <c r="F75" s="693"/>
      <c r="G75" s="724" t="s">
        <v>641</v>
      </c>
    </row>
    <row r="76" spans="1:8" ht="12.75" customHeight="1" x14ac:dyDescent="0.2">
      <c r="A76" s="528"/>
      <c r="B76" s="723" t="s">
        <v>615</v>
      </c>
      <c r="C76" s="692"/>
      <c r="D76" s="693"/>
      <c r="E76" s="693"/>
      <c r="F76" s="693"/>
      <c r="G76" s="724" t="s">
        <v>642</v>
      </c>
      <c r="H76" s="695"/>
    </row>
    <row r="77" spans="1:8" ht="12.75" customHeight="1" x14ac:dyDescent="0.2">
      <c r="A77" s="528"/>
      <c r="B77" s="723" t="s">
        <v>616</v>
      </c>
      <c r="C77" s="692"/>
      <c r="D77" s="693"/>
      <c r="E77" s="693"/>
      <c r="F77" s="693"/>
      <c r="G77" s="724" t="s">
        <v>643</v>
      </c>
    </row>
    <row r="78" spans="1:8" ht="12.75" customHeight="1" x14ac:dyDescent="0.2">
      <c r="A78" s="528"/>
      <c r="B78" s="723" t="s">
        <v>617</v>
      </c>
      <c r="C78" s="692"/>
      <c r="D78" s="693"/>
      <c r="E78" s="693"/>
      <c r="F78" s="693"/>
      <c r="G78" s="724" t="s">
        <v>644</v>
      </c>
      <c r="H78" s="695"/>
    </row>
    <row r="79" spans="1:8" ht="12.75" customHeight="1" x14ac:dyDescent="0.2">
      <c r="A79" s="528"/>
      <c r="B79" s="726" t="s">
        <v>303</v>
      </c>
      <c r="C79" s="696"/>
      <c r="D79" s="693">
        <v>102080.8</v>
      </c>
      <c r="E79" s="725">
        <f>SUM(D79)</f>
        <v>102080.8</v>
      </c>
      <c r="F79" s="693"/>
      <c r="H79" s="695"/>
    </row>
    <row r="80" spans="1:8" ht="12.75" customHeight="1" x14ac:dyDescent="0.2">
      <c r="A80" s="528"/>
      <c r="B80" s="727" t="s">
        <v>439</v>
      </c>
      <c r="C80" s="697"/>
      <c r="D80" s="693"/>
      <c r="E80" s="725">
        <f>SUM(D81:D87)</f>
        <v>706274.39000000013</v>
      </c>
      <c r="F80" s="693"/>
      <c r="H80" s="695"/>
    </row>
    <row r="81" spans="1:8" ht="12.75" customHeight="1" x14ac:dyDescent="0.2">
      <c r="A81" s="528"/>
      <c r="B81" s="694"/>
      <c r="C81" s="696" t="s">
        <v>304</v>
      </c>
      <c r="D81" s="693">
        <v>106196.07</v>
      </c>
      <c r="E81" s="693"/>
      <c r="F81" s="693"/>
    </row>
    <row r="82" spans="1:8" ht="12.75" customHeight="1" x14ac:dyDescent="0.2">
      <c r="A82" s="528"/>
      <c r="B82" s="694"/>
      <c r="C82" s="696" t="s">
        <v>305</v>
      </c>
      <c r="D82" s="693">
        <v>623.77</v>
      </c>
      <c r="E82" s="693"/>
      <c r="F82" s="693"/>
    </row>
    <row r="83" spans="1:8" ht="12.75" customHeight="1" x14ac:dyDescent="0.2">
      <c r="A83" s="528"/>
      <c r="B83" s="694"/>
      <c r="C83" s="696" t="s">
        <v>306</v>
      </c>
      <c r="D83" s="693">
        <v>450345.55</v>
      </c>
      <c r="E83" s="693"/>
      <c r="F83" s="693"/>
    </row>
    <row r="84" spans="1:8" ht="12.75" customHeight="1" x14ac:dyDescent="0.2">
      <c r="A84" s="708"/>
      <c r="B84" s="694"/>
      <c r="C84" s="696" t="s">
        <v>307</v>
      </c>
      <c r="D84" s="693">
        <v>434.3</v>
      </c>
      <c r="E84" s="693"/>
      <c r="F84" s="693"/>
    </row>
    <row r="85" spans="1:8" ht="12.75" customHeight="1" x14ac:dyDescent="0.2">
      <c r="A85" s="528"/>
      <c r="B85" s="694"/>
      <c r="C85" s="697" t="s">
        <v>308</v>
      </c>
      <c r="D85" s="693">
        <v>20825.77</v>
      </c>
      <c r="E85" s="693"/>
      <c r="F85" s="693"/>
    </row>
    <row r="86" spans="1:8" ht="12.75" customHeight="1" x14ac:dyDescent="0.2">
      <c r="A86" s="528"/>
      <c r="B86" s="699"/>
      <c r="C86" s="697" t="s">
        <v>121</v>
      </c>
      <c r="D86" s="693">
        <v>127848.93</v>
      </c>
      <c r="E86" s="693"/>
      <c r="F86" s="693"/>
      <c r="G86" s="683">
        <v>4005</v>
      </c>
    </row>
    <row r="87" spans="1:8" ht="12.75" customHeight="1" x14ac:dyDescent="0.2">
      <c r="A87" s="528"/>
      <c r="B87" s="699" t="s">
        <v>309</v>
      </c>
      <c r="C87" s="697"/>
      <c r="D87" s="693">
        <v>0</v>
      </c>
      <c r="E87" s="693"/>
      <c r="F87" s="693"/>
      <c r="H87" s="695"/>
    </row>
    <row r="88" spans="1:8" ht="12.75" customHeight="1" x14ac:dyDescent="0.2">
      <c r="A88" s="698"/>
      <c r="B88" s="729" t="s">
        <v>310</v>
      </c>
      <c r="C88" s="700"/>
      <c r="D88" s="693">
        <v>0</v>
      </c>
      <c r="E88" s="728">
        <f>D88</f>
        <v>0</v>
      </c>
      <c r="F88" s="701"/>
      <c r="H88" s="695"/>
    </row>
    <row r="89" spans="1:8" ht="12.75" customHeight="1" thickBot="1" x14ac:dyDescent="0.25">
      <c r="A89" s="702"/>
      <c r="B89" s="703"/>
      <c r="C89" s="704"/>
      <c r="D89" s="709"/>
      <c r="E89" s="706"/>
      <c r="F89" s="731">
        <f>SUM(E45:E89)</f>
        <v>1300392.79</v>
      </c>
      <c r="H89" s="707">
        <f>'Sched-B1'!B5+'Sched-B2'!E37+'Sched-D1'!F89-6586663.64-364125.72+31113</f>
        <v>6.9849193096160889E-10</v>
      </c>
    </row>
    <row r="90" spans="1:8" ht="12.75" customHeight="1" x14ac:dyDescent="0.2">
      <c r="A90" s="688" t="s">
        <v>645</v>
      </c>
      <c r="B90" s="907" t="s">
        <v>860</v>
      </c>
      <c r="C90" s="689"/>
      <c r="D90" s="690"/>
      <c r="E90" s="859">
        <v>1547.43</v>
      </c>
      <c r="F90" s="691"/>
      <c r="G90" s="683">
        <v>2000</v>
      </c>
    </row>
    <row r="91" spans="1:8" ht="12.75" customHeight="1" x14ac:dyDescent="0.2">
      <c r="A91" s="528"/>
      <c r="B91" s="721" t="s">
        <v>590</v>
      </c>
      <c r="C91" s="692"/>
      <c r="D91" s="693">
        <v>329797.13</v>
      </c>
      <c r="E91" s="725">
        <f>SUM(D91:D127)</f>
        <v>1121452.58</v>
      </c>
      <c r="F91" s="693"/>
    </row>
    <row r="92" spans="1:8" ht="12.75" customHeight="1" x14ac:dyDescent="0.2">
      <c r="A92" s="528"/>
      <c r="B92" s="723" t="s">
        <v>591</v>
      </c>
      <c r="C92" s="692"/>
      <c r="D92" s="693"/>
      <c r="E92" s="693"/>
      <c r="F92" s="693"/>
      <c r="G92" s="724" t="s">
        <v>618</v>
      </c>
    </row>
    <row r="93" spans="1:8" ht="12.75" customHeight="1" x14ac:dyDescent="0.2">
      <c r="A93" s="528"/>
      <c r="B93" s="723" t="s">
        <v>592</v>
      </c>
      <c r="C93" s="692"/>
      <c r="D93" s="693"/>
      <c r="E93" s="693"/>
      <c r="F93" s="693"/>
      <c r="G93" s="724" t="s">
        <v>619</v>
      </c>
    </row>
    <row r="94" spans="1:8" ht="12.75" customHeight="1" x14ac:dyDescent="0.2">
      <c r="A94" s="528"/>
      <c r="B94" s="723" t="s">
        <v>650</v>
      </c>
      <c r="C94" s="692"/>
      <c r="D94" s="693"/>
      <c r="E94" s="693"/>
      <c r="F94" s="693"/>
      <c r="G94" s="724">
        <v>3003</v>
      </c>
    </row>
    <row r="95" spans="1:8" ht="12.75" customHeight="1" x14ac:dyDescent="0.2">
      <c r="A95" s="528"/>
      <c r="B95" s="723" t="s">
        <v>593</v>
      </c>
      <c r="C95" s="692"/>
      <c r="D95" s="693"/>
      <c r="E95" s="693"/>
      <c r="F95" s="693"/>
      <c r="G95" s="724" t="s">
        <v>620</v>
      </c>
    </row>
    <row r="96" spans="1:8" ht="12.75" customHeight="1" x14ac:dyDescent="0.2">
      <c r="A96" s="528"/>
      <c r="B96" s="723" t="s">
        <v>594</v>
      </c>
      <c r="C96" s="692"/>
      <c r="D96" s="693"/>
      <c r="E96" s="693"/>
      <c r="F96" s="693"/>
      <c r="G96" s="724" t="s">
        <v>621</v>
      </c>
    </row>
    <row r="97" spans="1:7" ht="12.75" customHeight="1" x14ac:dyDescent="0.2">
      <c r="A97" s="528"/>
      <c r="B97" s="723" t="s">
        <v>595</v>
      </c>
      <c r="C97" s="692"/>
      <c r="D97" s="693"/>
      <c r="E97" s="693"/>
      <c r="F97" s="693"/>
      <c r="G97" s="724" t="s">
        <v>622</v>
      </c>
    </row>
    <row r="98" spans="1:7" ht="12.75" customHeight="1" x14ac:dyDescent="0.2">
      <c r="A98" s="528"/>
      <c r="B98" s="733" t="s">
        <v>50</v>
      </c>
      <c r="C98" s="692"/>
      <c r="D98" s="693">
        <v>791655.45</v>
      </c>
      <c r="E98" s="693"/>
      <c r="F98" s="693"/>
      <c r="G98" s="724"/>
    </row>
    <row r="99" spans="1:7" ht="12.75" customHeight="1" x14ac:dyDescent="0.2">
      <c r="A99" s="528"/>
      <c r="B99" s="723" t="s">
        <v>596</v>
      </c>
      <c r="C99" s="692"/>
      <c r="D99" s="693"/>
      <c r="E99" s="693"/>
      <c r="F99" s="693"/>
      <c r="G99" s="724" t="s">
        <v>623</v>
      </c>
    </row>
    <row r="100" spans="1:7" ht="12.75" customHeight="1" x14ac:dyDescent="0.2">
      <c r="A100" s="528"/>
      <c r="B100" s="723" t="s">
        <v>597</v>
      </c>
      <c r="C100" s="692"/>
      <c r="D100" s="693"/>
      <c r="E100" s="693"/>
      <c r="F100" s="693"/>
      <c r="G100" s="724" t="s">
        <v>624</v>
      </c>
    </row>
    <row r="101" spans="1:7" ht="12.75" customHeight="1" x14ac:dyDescent="0.2">
      <c r="A101" s="528"/>
      <c r="B101" s="723" t="s">
        <v>647</v>
      </c>
      <c r="C101" s="692"/>
      <c r="D101" s="693"/>
      <c r="E101" s="693"/>
      <c r="F101" s="693"/>
      <c r="G101" s="724">
        <v>3034</v>
      </c>
    </row>
    <row r="102" spans="1:7" ht="12.75" customHeight="1" x14ac:dyDescent="0.2">
      <c r="A102" s="528"/>
      <c r="B102" s="723" t="s">
        <v>598</v>
      </c>
      <c r="C102" s="692"/>
      <c r="D102" s="693"/>
      <c r="E102" s="693"/>
      <c r="F102" s="693"/>
      <c r="G102" s="724" t="s">
        <v>625</v>
      </c>
    </row>
    <row r="103" spans="1:7" ht="12.75" customHeight="1" x14ac:dyDescent="0.2">
      <c r="A103" s="528"/>
      <c r="B103" s="723" t="s">
        <v>599</v>
      </c>
      <c r="C103" s="692"/>
      <c r="D103" s="693"/>
      <c r="E103" s="693"/>
      <c r="F103" s="693"/>
      <c r="G103" s="724" t="s">
        <v>626</v>
      </c>
    </row>
    <row r="104" spans="1:7" ht="12.75" customHeight="1" x14ac:dyDescent="0.2">
      <c r="A104" s="528"/>
      <c r="B104" s="723" t="s">
        <v>600</v>
      </c>
      <c r="C104" s="692"/>
      <c r="D104" s="693"/>
      <c r="E104" s="693"/>
      <c r="F104" s="693"/>
      <c r="G104" s="724" t="s">
        <v>627</v>
      </c>
    </row>
    <row r="105" spans="1:7" ht="12.75" customHeight="1" x14ac:dyDescent="0.2">
      <c r="A105" s="528"/>
      <c r="B105" s="723" t="s">
        <v>601</v>
      </c>
      <c r="C105" s="692"/>
      <c r="D105" s="693"/>
      <c r="E105" s="693"/>
      <c r="F105" s="693"/>
      <c r="G105" s="724" t="s">
        <v>628</v>
      </c>
    </row>
    <row r="106" spans="1:7" ht="12.75" customHeight="1" x14ac:dyDescent="0.2">
      <c r="A106" s="528"/>
      <c r="B106" s="723" t="s">
        <v>602</v>
      </c>
      <c r="C106" s="692"/>
      <c r="D106" s="693"/>
      <c r="E106" s="693"/>
      <c r="F106" s="693"/>
      <c r="G106" s="724" t="s">
        <v>629</v>
      </c>
    </row>
    <row r="107" spans="1:7" ht="12.75" customHeight="1" x14ac:dyDescent="0.2">
      <c r="A107" s="528"/>
      <c r="B107" s="723" t="s">
        <v>603</v>
      </c>
      <c r="C107" s="692"/>
      <c r="D107" s="693"/>
      <c r="E107" s="693"/>
      <c r="F107" s="693"/>
      <c r="G107" s="724" t="s">
        <v>630</v>
      </c>
    </row>
    <row r="108" spans="1:7" ht="12.75" customHeight="1" x14ac:dyDescent="0.2">
      <c r="A108" s="528"/>
      <c r="B108" s="723" t="s">
        <v>604</v>
      </c>
      <c r="C108" s="692"/>
      <c r="D108" s="693"/>
      <c r="E108" s="693"/>
      <c r="F108" s="693"/>
      <c r="G108" s="724" t="s">
        <v>631</v>
      </c>
    </row>
    <row r="109" spans="1:7" ht="12.75" customHeight="1" x14ac:dyDescent="0.2">
      <c r="A109" s="528"/>
      <c r="B109" s="723" t="s">
        <v>605</v>
      </c>
      <c r="C109" s="692"/>
      <c r="D109" s="693"/>
      <c r="E109" s="693"/>
      <c r="F109" s="693"/>
      <c r="G109" s="724" t="s">
        <v>632</v>
      </c>
    </row>
    <row r="110" spans="1:7" ht="12.75" customHeight="1" x14ac:dyDescent="0.2">
      <c r="A110" s="528"/>
      <c r="B110" s="723" t="s">
        <v>606</v>
      </c>
      <c r="C110" s="692"/>
      <c r="D110" s="693"/>
      <c r="E110" s="693"/>
      <c r="F110" s="693"/>
      <c r="G110" s="724" t="s">
        <v>633</v>
      </c>
    </row>
    <row r="111" spans="1:7" ht="12.75" customHeight="1" x14ac:dyDescent="0.2">
      <c r="A111" s="528"/>
      <c r="B111" s="723" t="s">
        <v>648</v>
      </c>
      <c r="C111" s="692"/>
      <c r="D111" s="693"/>
      <c r="E111" s="693"/>
      <c r="F111" s="693"/>
      <c r="G111" s="724">
        <v>3048</v>
      </c>
    </row>
    <row r="112" spans="1:7" ht="12.75" customHeight="1" x14ac:dyDescent="0.2">
      <c r="A112" s="528"/>
      <c r="B112" s="723" t="s">
        <v>607</v>
      </c>
      <c r="C112" s="692"/>
      <c r="D112" s="693"/>
      <c r="E112" s="693"/>
      <c r="F112" s="693"/>
      <c r="G112" s="724" t="s">
        <v>634</v>
      </c>
    </row>
    <row r="113" spans="1:8" ht="12.75" customHeight="1" x14ac:dyDescent="0.2">
      <c r="A113" s="528"/>
      <c r="B113" s="723" t="s">
        <v>608</v>
      </c>
      <c r="C113" s="692"/>
      <c r="D113" s="693"/>
      <c r="E113" s="693"/>
      <c r="F113" s="693"/>
      <c r="G113" s="724" t="s">
        <v>635</v>
      </c>
    </row>
    <row r="114" spans="1:8" ht="12.75" customHeight="1" x14ac:dyDescent="0.2">
      <c r="A114" s="528"/>
      <c r="B114" s="723" t="s">
        <v>651</v>
      </c>
      <c r="C114" s="692"/>
      <c r="D114" s="693"/>
      <c r="E114" s="693"/>
      <c r="F114" s="693"/>
      <c r="G114" s="724">
        <v>3051</v>
      </c>
    </row>
    <row r="115" spans="1:8" ht="12.75" customHeight="1" x14ac:dyDescent="0.2">
      <c r="A115" s="528"/>
      <c r="B115" s="723" t="s">
        <v>609</v>
      </c>
      <c r="C115" s="692"/>
      <c r="D115" s="693"/>
      <c r="E115" s="693"/>
      <c r="F115" s="693"/>
      <c r="G115" s="724" t="s">
        <v>636</v>
      </c>
    </row>
    <row r="116" spans="1:8" ht="12.75" customHeight="1" x14ac:dyDescent="0.2">
      <c r="A116" s="528"/>
      <c r="B116" s="723" t="s">
        <v>652</v>
      </c>
      <c r="C116" s="692"/>
      <c r="D116" s="693"/>
      <c r="E116" s="693"/>
      <c r="F116" s="693"/>
      <c r="G116" s="724">
        <v>3056</v>
      </c>
    </row>
    <row r="117" spans="1:8" ht="12.75" customHeight="1" x14ac:dyDescent="0.2">
      <c r="A117" s="528"/>
      <c r="B117" s="723" t="s">
        <v>610</v>
      </c>
      <c r="C117" s="692"/>
      <c r="D117" s="693"/>
      <c r="E117" s="693"/>
      <c r="F117" s="693"/>
      <c r="G117" s="724">
        <v>3057</v>
      </c>
    </row>
    <row r="118" spans="1:8" ht="12.75" customHeight="1" x14ac:dyDescent="0.2">
      <c r="A118" s="528"/>
      <c r="B118" s="723" t="s">
        <v>611</v>
      </c>
      <c r="C118" s="692"/>
      <c r="D118" s="693"/>
      <c r="E118" s="693"/>
      <c r="F118" s="693"/>
      <c r="G118" s="724" t="s">
        <v>638</v>
      </c>
    </row>
    <row r="119" spans="1:8" ht="12.75" customHeight="1" x14ac:dyDescent="0.2">
      <c r="A119" s="528"/>
      <c r="B119" s="723" t="s">
        <v>612</v>
      </c>
      <c r="C119" s="692"/>
      <c r="D119" s="693"/>
      <c r="E119" s="693"/>
      <c r="F119" s="693"/>
      <c r="G119" s="724" t="s">
        <v>639</v>
      </c>
    </row>
    <row r="120" spans="1:8" ht="12.75" customHeight="1" x14ac:dyDescent="0.2">
      <c r="A120" s="528"/>
      <c r="B120" s="723" t="s">
        <v>649</v>
      </c>
      <c r="C120" s="692"/>
      <c r="D120" s="693"/>
      <c r="E120" s="693"/>
      <c r="F120" s="693"/>
      <c r="G120" s="724"/>
    </row>
    <row r="121" spans="1:8" ht="12.75" customHeight="1" x14ac:dyDescent="0.2">
      <c r="A121" s="528"/>
      <c r="B121" s="723" t="s">
        <v>613</v>
      </c>
      <c r="C121" s="692"/>
      <c r="D121" s="693"/>
      <c r="E121" s="693"/>
      <c r="F121" s="693"/>
      <c r="G121" s="724" t="s">
        <v>640</v>
      </c>
    </row>
    <row r="122" spans="1:8" ht="12.75" customHeight="1" x14ac:dyDescent="0.2">
      <c r="A122" s="528"/>
      <c r="B122" s="723" t="s">
        <v>614</v>
      </c>
      <c r="C122" s="692"/>
      <c r="D122" s="693"/>
      <c r="E122" s="693"/>
      <c r="F122" s="693"/>
      <c r="G122" s="724" t="s">
        <v>641</v>
      </c>
    </row>
    <row r="123" spans="1:8" ht="12.75" customHeight="1" x14ac:dyDescent="0.2">
      <c r="A123" s="528"/>
      <c r="B123" s="723" t="s">
        <v>615</v>
      </c>
      <c r="C123" s="692"/>
      <c r="D123" s="693"/>
      <c r="E123" s="693"/>
      <c r="F123" s="693"/>
      <c r="G123" s="724" t="s">
        <v>642</v>
      </c>
      <c r="H123" s="695"/>
    </row>
    <row r="124" spans="1:8" ht="12.75" customHeight="1" x14ac:dyDescent="0.2">
      <c r="A124" s="528"/>
      <c r="B124" s="723" t="s">
        <v>653</v>
      </c>
      <c r="C124" s="692"/>
      <c r="D124" s="693"/>
      <c r="E124" s="693"/>
      <c r="F124" s="693"/>
      <c r="G124" s="724">
        <v>3073</v>
      </c>
    </row>
    <row r="125" spans="1:8" ht="12.75" customHeight="1" x14ac:dyDescent="0.2">
      <c r="A125" s="528"/>
      <c r="B125" s="723"/>
      <c r="C125" s="692"/>
      <c r="D125" s="693"/>
      <c r="E125" s="693"/>
      <c r="F125" s="693"/>
      <c r="G125" s="724"/>
      <c r="H125" s="695"/>
    </row>
    <row r="126" spans="1:8" ht="12.75" customHeight="1" x14ac:dyDescent="0.2">
      <c r="A126" s="528"/>
      <c r="B126" s="723"/>
      <c r="C126" s="692"/>
      <c r="D126" s="693"/>
      <c r="E126" s="693"/>
      <c r="F126" s="693"/>
      <c r="G126" s="732"/>
      <c r="H126" s="695"/>
    </row>
    <row r="127" spans="1:8" ht="12.75" customHeight="1" x14ac:dyDescent="0.2">
      <c r="A127" s="528"/>
      <c r="B127" s="694"/>
      <c r="C127" s="722"/>
      <c r="D127" s="693"/>
      <c r="E127" s="693"/>
      <c r="F127" s="693"/>
    </row>
    <row r="128" spans="1:8" ht="12.75" customHeight="1" x14ac:dyDescent="0.2">
      <c r="A128" s="528"/>
      <c r="B128" s="726" t="s">
        <v>303</v>
      </c>
      <c r="D128" s="693">
        <v>247509.87</v>
      </c>
      <c r="E128" s="725">
        <f>SUM(D128)</f>
        <v>247509.87</v>
      </c>
      <c r="F128" s="693"/>
      <c r="G128" s="683">
        <v>3001</v>
      </c>
      <c r="H128" s="695"/>
    </row>
    <row r="129" spans="1:8" ht="12.75" customHeight="1" x14ac:dyDescent="0.2">
      <c r="A129" s="528"/>
      <c r="B129" s="727" t="s">
        <v>439</v>
      </c>
      <c r="C129" s="697"/>
      <c r="D129" s="693"/>
      <c r="E129" s="725">
        <f>SUM(D130:D135)</f>
        <v>1036231.6200000001</v>
      </c>
      <c r="F129" s="693"/>
    </row>
    <row r="130" spans="1:8" ht="12.75" customHeight="1" x14ac:dyDescent="0.2">
      <c r="A130" s="528"/>
      <c r="B130" s="694"/>
      <c r="C130" s="696" t="s">
        <v>304</v>
      </c>
      <c r="D130" s="693">
        <v>206598.92</v>
      </c>
      <c r="E130" s="693"/>
      <c r="F130" s="693"/>
      <c r="G130" s="683">
        <v>4000</v>
      </c>
    </row>
    <row r="131" spans="1:8" ht="12.75" customHeight="1" x14ac:dyDescent="0.2">
      <c r="A131" s="528"/>
      <c r="B131" s="694"/>
      <c r="C131" s="696" t="s">
        <v>305</v>
      </c>
      <c r="D131" s="693">
        <v>0</v>
      </c>
      <c r="E131" s="693"/>
      <c r="F131" s="693"/>
      <c r="G131" s="683">
        <v>4001</v>
      </c>
    </row>
    <row r="132" spans="1:8" ht="12.75" customHeight="1" x14ac:dyDescent="0.2">
      <c r="A132" s="528"/>
      <c r="B132" s="694"/>
      <c r="C132" s="696" t="s">
        <v>306</v>
      </c>
      <c r="D132" s="693">
        <v>663249.16</v>
      </c>
      <c r="E132" s="693"/>
      <c r="F132" s="693"/>
    </row>
    <row r="133" spans="1:8" ht="12.75" customHeight="1" x14ac:dyDescent="0.2">
      <c r="A133" s="528"/>
      <c r="B133" s="694"/>
      <c r="C133" s="696" t="s">
        <v>307</v>
      </c>
      <c r="D133" s="693">
        <v>3231.64</v>
      </c>
      <c r="E133" s="693"/>
      <c r="F133" s="693"/>
    </row>
    <row r="134" spans="1:8" ht="12.75" customHeight="1" x14ac:dyDescent="0.2">
      <c r="A134" s="528"/>
      <c r="B134" s="694"/>
      <c r="C134" s="697" t="s">
        <v>308</v>
      </c>
      <c r="D134" s="693">
        <v>54842.41</v>
      </c>
      <c r="E134" s="693"/>
      <c r="F134" s="693"/>
    </row>
    <row r="135" spans="1:8" ht="12.75" customHeight="1" x14ac:dyDescent="0.2">
      <c r="A135" s="528"/>
      <c r="B135" s="694"/>
      <c r="C135" s="697" t="s">
        <v>121</v>
      </c>
      <c r="D135" s="693">
        <v>108309.49</v>
      </c>
      <c r="E135" s="693"/>
      <c r="F135" s="693"/>
      <c r="G135" s="683">
        <v>4005</v>
      </c>
    </row>
    <row r="136" spans="1:8" ht="12.75" customHeight="1" x14ac:dyDescent="0.2">
      <c r="A136" s="698"/>
      <c r="B136" s="699" t="s">
        <v>309</v>
      </c>
      <c r="C136" s="730"/>
      <c r="D136" s="693"/>
      <c r="E136" s="701"/>
      <c r="F136" s="701"/>
    </row>
    <row r="137" spans="1:8" ht="12.75" customHeight="1" x14ac:dyDescent="0.2">
      <c r="A137" s="698"/>
      <c r="B137" s="729" t="s">
        <v>310</v>
      </c>
      <c r="D137" s="693">
        <v>0</v>
      </c>
      <c r="E137" s="728">
        <f>D137</f>
        <v>0</v>
      </c>
      <c r="F137" s="701"/>
      <c r="G137" s="683">
        <v>5000</v>
      </c>
    </row>
    <row r="138" spans="1:8" ht="12.75" customHeight="1" thickBot="1" x14ac:dyDescent="0.25">
      <c r="A138" s="702"/>
      <c r="B138" s="703"/>
      <c r="C138" s="704"/>
      <c r="D138" s="705"/>
      <c r="E138" s="706"/>
      <c r="F138" s="731">
        <f>SUM(E90:E137)</f>
        <v>2406741.5</v>
      </c>
      <c r="H138" s="707">
        <f>'Sched-B1'!B6+'Sched-B2'!E54+'Sched-D1'!F138-13363381.38-791655.45</f>
        <v>0</v>
      </c>
    </row>
    <row r="139" spans="1:8" ht="12.75" customHeight="1" x14ac:dyDescent="0.2">
      <c r="A139" s="688" t="s">
        <v>654</v>
      </c>
      <c r="B139" s="907" t="s">
        <v>860</v>
      </c>
      <c r="C139" s="689"/>
      <c r="D139" s="690"/>
      <c r="E139" s="691">
        <v>33426.959999999999</v>
      </c>
      <c r="F139" s="691"/>
      <c r="G139" s="683">
        <v>2000</v>
      </c>
    </row>
    <row r="140" spans="1:8" ht="12.75" customHeight="1" x14ac:dyDescent="0.2">
      <c r="A140" s="528"/>
      <c r="B140" s="721" t="s">
        <v>590</v>
      </c>
      <c r="C140" s="692"/>
      <c r="D140" s="693">
        <v>200845.72</v>
      </c>
      <c r="E140" s="725">
        <f>SUM(D140:D179)</f>
        <v>1035916.98</v>
      </c>
      <c r="F140" s="693"/>
    </row>
    <row r="141" spans="1:8" ht="12.75" customHeight="1" x14ac:dyDescent="0.2">
      <c r="A141" s="528"/>
      <c r="B141" s="723" t="s">
        <v>591</v>
      </c>
      <c r="C141" s="692"/>
      <c r="D141" s="693"/>
      <c r="E141" s="693"/>
      <c r="F141" s="693"/>
      <c r="G141" s="724" t="s">
        <v>618</v>
      </c>
    </row>
    <row r="142" spans="1:8" ht="12.75" customHeight="1" x14ac:dyDescent="0.2">
      <c r="A142" s="528"/>
      <c r="B142" s="723" t="s">
        <v>592</v>
      </c>
      <c r="C142" s="692"/>
      <c r="D142" s="693"/>
      <c r="E142" s="693"/>
      <c r="F142" s="693"/>
      <c r="G142" s="724" t="s">
        <v>619</v>
      </c>
    </row>
    <row r="143" spans="1:8" ht="12.75" customHeight="1" x14ac:dyDescent="0.2">
      <c r="A143" s="528"/>
      <c r="B143" s="723" t="s">
        <v>650</v>
      </c>
      <c r="C143" s="692"/>
      <c r="D143" s="693"/>
      <c r="E143" s="693"/>
      <c r="F143" s="693"/>
      <c r="G143" s="724">
        <v>3003</v>
      </c>
    </row>
    <row r="144" spans="1:8" ht="12.75" customHeight="1" x14ac:dyDescent="0.2">
      <c r="A144" s="528"/>
      <c r="B144" s="723" t="s">
        <v>593</v>
      </c>
      <c r="C144" s="692"/>
      <c r="D144" s="693"/>
      <c r="E144" s="693"/>
      <c r="F144" s="693"/>
      <c r="G144" s="724" t="s">
        <v>620</v>
      </c>
    </row>
    <row r="145" spans="1:7" ht="12.75" customHeight="1" x14ac:dyDescent="0.2">
      <c r="A145" s="528"/>
      <c r="B145" s="723" t="s">
        <v>594</v>
      </c>
      <c r="C145" s="692"/>
      <c r="D145" s="693"/>
      <c r="E145" s="693"/>
      <c r="F145" s="693"/>
      <c r="G145" s="724" t="s">
        <v>621</v>
      </c>
    </row>
    <row r="146" spans="1:7" ht="12.75" customHeight="1" x14ac:dyDescent="0.2">
      <c r="A146" s="528"/>
      <c r="B146" s="723" t="s">
        <v>595</v>
      </c>
      <c r="C146" s="692"/>
      <c r="D146" s="693"/>
      <c r="E146" s="693"/>
      <c r="F146" s="693"/>
      <c r="G146" s="724" t="s">
        <v>622</v>
      </c>
    </row>
    <row r="147" spans="1:7" ht="12.75" customHeight="1" x14ac:dyDescent="0.2">
      <c r="A147" s="528"/>
      <c r="B147" s="733" t="s">
        <v>50</v>
      </c>
      <c r="C147" s="692"/>
      <c r="D147" s="693">
        <v>835071.26</v>
      </c>
      <c r="E147" s="693"/>
      <c r="F147" s="693"/>
      <c r="G147" s="724"/>
    </row>
    <row r="148" spans="1:7" ht="12.75" customHeight="1" x14ac:dyDescent="0.2">
      <c r="A148" s="528"/>
      <c r="B148" s="723" t="s">
        <v>655</v>
      </c>
      <c r="C148" s="692"/>
      <c r="D148" s="693"/>
      <c r="E148" s="693"/>
      <c r="F148" s="693"/>
      <c r="G148" s="724">
        <v>3029</v>
      </c>
    </row>
    <row r="149" spans="1:7" ht="12.75" customHeight="1" x14ac:dyDescent="0.2">
      <c r="A149" s="528"/>
      <c r="B149" s="723" t="s">
        <v>596</v>
      </c>
      <c r="C149" s="692"/>
      <c r="D149" s="693"/>
      <c r="E149" s="693"/>
      <c r="F149" s="693"/>
      <c r="G149" s="724" t="s">
        <v>623</v>
      </c>
    </row>
    <row r="150" spans="1:7" ht="12.75" customHeight="1" x14ac:dyDescent="0.2">
      <c r="A150" s="528"/>
      <c r="B150" s="723" t="s">
        <v>597</v>
      </c>
      <c r="C150" s="692"/>
      <c r="D150" s="693"/>
      <c r="E150" s="693"/>
      <c r="F150" s="693"/>
      <c r="G150" s="724" t="s">
        <v>624</v>
      </c>
    </row>
    <row r="151" spans="1:7" ht="12.75" customHeight="1" x14ac:dyDescent="0.2">
      <c r="A151" s="528"/>
      <c r="B151" s="723" t="s">
        <v>647</v>
      </c>
      <c r="C151" s="692"/>
      <c r="D151" s="693"/>
      <c r="E151" s="693"/>
      <c r="F151" s="693"/>
      <c r="G151" s="724">
        <v>3034</v>
      </c>
    </row>
    <row r="152" spans="1:7" ht="12.75" customHeight="1" x14ac:dyDescent="0.2">
      <c r="A152" s="528"/>
      <c r="B152" s="723" t="s">
        <v>598</v>
      </c>
      <c r="C152" s="692"/>
      <c r="D152" s="693"/>
      <c r="E152" s="693"/>
      <c r="F152" s="693"/>
      <c r="G152" s="724" t="s">
        <v>625</v>
      </c>
    </row>
    <row r="153" spans="1:7" ht="12.75" customHeight="1" x14ac:dyDescent="0.2">
      <c r="A153" s="528"/>
      <c r="B153" s="723" t="s">
        <v>599</v>
      </c>
      <c r="C153" s="692"/>
      <c r="D153" s="693"/>
      <c r="E153" s="693"/>
      <c r="F153" s="693"/>
      <c r="G153" s="724" t="s">
        <v>626</v>
      </c>
    </row>
    <row r="154" spans="1:7" ht="12.75" customHeight="1" x14ac:dyDescent="0.2">
      <c r="A154" s="528"/>
      <c r="B154" s="723" t="s">
        <v>600</v>
      </c>
      <c r="C154" s="692"/>
      <c r="D154" s="693"/>
      <c r="E154" s="693"/>
      <c r="F154" s="693"/>
      <c r="G154" s="724" t="s">
        <v>627</v>
      </c>
    </row>
    <row r="155" spans="1:7" ht="12.75" customHeight="1" x14ac:dyDescent="0.2">
      <c r="A155" s="528"/>
      <c r="B155" s="723" t="s">
        <v>601</v>
      </c>
      <c r="C155" s="692"/>
      <c r="D155" s="693"/>
      <c r="E155" s="693"/>
      <c r="F155" s="693"/>
      <c r="G155" s="724" t="s">
        <v>628</v>
      </c>
    </row>
    <row r="156" spans="1:7" ht="12.75" customHeight="1" x14ac:dyDescent="0.2">
      <c r="A156" s="528"/>
      <c r="B156" s="723" t="s">
        <v>602</v>
      </c>
      <c r="C156" s="692"/>
      <c r="D156" s="693"/>
      <c r="E156" s="693"/>
      <c r="F156" s="693"/>
      <c r="G156" s="724" t="s">
        <v>629</v>
      </c>
    </row>
    <row r="157" spans="1:7" ht="12.75" customHeight="1" x14ac:dyDescent="0.2">
      <c r="A157" s="528"/>
      <c r="B157" s="723" t="s">
        <v>603</v>
      </c>
      <c r="C157" s="692"/>
      <c r="D157" s="693"/>
      <c r="E157" s="693"/>
      <c r="F157" s="693"/>
      <c r="G157" s="724" t="s">
        <v>630</v>
      </c>
    </row>
    <row r="158" spans="1:7" ht="12.75" customHeight="1" x14ac:dyDescent="0.2">
      <c r="A158" s="528"/>
      <c r="B158" s="723" t="s">
        <v>604</v>
      </c>
      <c r="C158" s="692"/>
      <c r="D158" s="693"/>
      <c r="E158" s="693"/>
      <c r="F158" s="693"/>
      <c r="G158" s="724" t="s">
        <v>631</v>
      </c>
    </row>
    <row r="159" spans="1:7" ht="12.75" customHeight="1" x14ac:dyDescent="0.2">
      <c r="A159" s="528"/>
      <c r="B159" s="723" t="s">
        <v>605</v>
      </c>
      <c r="C159" s="692"/>
      <c r="D159" s="693"/>
      <c r="E159" s="693"/>
      <c r="F159" s="693"/>
      <c r="G159" s="724" t="s">
        <v>632</v>
      </c>
    </row>
    <row r="160" spans="1:7" ht="12.75" customHeight="1" x14ac:dyDescent="0.2">
      <c r="A160" s="528"/>
      <c r="B160" s="723" t="s">
        <v>606</v>
      </c>
      <c r="C160" s="692"/>
      <c r="D160" s="693"/>
      <c r="E160" s="693"/>
      <c r="F160" s="693"/>
      <c r="G160" s="724" t="s">
        <v>633</v>
      </c>
    </row>
    <row r="161" spans="1:8" ht="12.75" customHeight="1" x14ac:dyDescent="0.2">
      <c r="A161" s="528"/>
      <c r="B161" s="723" t="s">
        <v>648</v>
      </c>
      <c r="C161" s="692"/>
      <c r="D161" s="693"/>
      <c r="E161" s="693"/>
      <c r="F161" s="693"/>
      <c r="G161" s="724">
        <v>3048</v>
      </c>
    </row>
    <row r="162" spans="1:8" ht="12.75" customHeight="1" x14ac:dyDescent="0.2">
      <c r="A162" s="528"/>
      <c r="B162" s="723" t="s">
        <v>607</v>
      </c>
      <c r="C162" s="692"/>
      <c r="D162" s="693"/>
      <c r="E162" s="693"/>
      <c r="F162" s="693"/>
      <c r="G162" s="724" t="s">
        <v>634</v>
      </c>
    </row>
    <row r="163" spans="1:8" ht="12.75" customHeight="1" x14ac:dyDescent="0.2">
      <c r="A163" s="528"/>
      <c r="B163" s="723" t="s">
        <v>608</v>
      </c>
      <c r="C163" s="692"/>
      <c r="D163" s="693"/>
      <c r="E163" s="693"/>
      <c r="F163" s="693"/>
      <c r="G163" s="724" t="s">
        <v>635</v>
      </c>
    </row>
    <row r="164" spans="1:8" ht="12.75" customHeight="1" x14ac:dyDescent="0.2">
      <c r="A164" s="528"/>
      <c r="B164" s="723" t="s">
        <v>651</v>
      </c>
      <c r="C164" s="692"/>
      <c r="D164" s="693"/>
      <c r="E164" s="693"/>
      <c r="F164" s="693"/>
      <c r="G164" s="724">
        <v>3051</v>
      </c>
    </row>
    <row r="165" spans="1:8" ht="12.75" customHeight="1" x14ac:dyDescent="0.2">
      <c r="A165" s="528"/>
      <c r="B165" s="723" t="s">
        <v>609</v>
      </c>
      <c r="C165" s="692"/>
      <c r="D165" s="693"/>
      <c r="E165" s="693"/>
      <c r="F165" s="693"/>
      <c r="G165" s="724" t="s">
        <v>636</v>
      </c>
    </row>
    <row r="166" spans="1:8" ht="12.75" customHeight="1" x14ac:dyDescent="0.2">
      <c r="A166" s="528"/>
      <c r="B166" s="723" t="s">
        <v>652</v>
      </c>
      <c r="C166" s="692"/>
      <c r="D166" s="693"/>
      <c r="E166" s="693"/>
      <c r="F166" s="693"/>
      <c r="G166" s="724">
        <v>3056</v>
      </c>
    </row>
    <row r="167" spans="1:8" ht="12.75" customHeight="1" x14ac:dyDescent="0.2">
      <c r="A167" s="528"/>
      <c r="B167" s="723" t="s">
        <v>610</v>
      </c>
      <c r="C167" s="692"/>
      <c r="D167" s="693"/>
      <c r="E167" s="693"/>
      <c r="F167" s="693"/>
      <c r="G167" s="724">
        <v>3057</v>
      </c>
    </row>
    <row r="168" spans="1:8" ht="12.75" customHeight="1" x14ac:dyDescent="0.2">
      <c r="A168" s="528"/>
      <c r="B168" s="723" t="s">
        <v>611</v>
      </c>
      <c r="C168" s="692"/>
      <c r="D168" s="693"/>
      <c r="E168" s="693"/>
      <c r="F168" s="693"/>
      <c r="G168" s="724" t="s">
        <v>638</v>
      </c>
    </row>
    <row r="169" spans="1:8" ht="12.75" customHeight="1" x14ac:dyDescent="0.2">
      <c r="A169" s="528"/>
      <c r="B169" s="723" t="s">
        <v>612</v>
      </c>
      <c r="C169" s="692"/>
      <c r="D169" s="693"/>
      <c r="E169" s="693"/>
      <c r="F169" s="693"/>
      <c r="G169" s="724" t="s">
        <v>639</v>
      </c>
    </row>
    <row r="170" spans="1:8" ht="12.75" customHeight="1" x14ac:dyDescent="0.2">
      <c r="A170" s="528"/>
      <c r="B170" s="723" t="s">
        <v>649</v>
      </c>
      <c r="C170" s="692"/>
      <c r="D170" s="693"/>
      <c r="E170" s="693"/>
      <c r="F170" s="693"/>
      <c r="G170" s="724"/>
    </row>
    <row r="171" spans="1:8" ht="12.75" customHeight="1" x14ac:dyDescent="0.2">
      <c r="A171" s="528"/>
      <c r="B171" s="723" t="s">
        <v>613</v>
      </c>
      <c r="C171" s="692"/>
      <c r="D171" s="693"/>
      <c r="E171" s="693"/>
      <c r="F171" s="693"/>
      <c r="G171" s="724" t="s">
        <v>640</v>
      </c>
    </row>
    <row r="172" spans="1:8" ht="12.75" customHeight="1" x14ac:dyDescent="0.2">
      <c r="A172" s="528"/>
      <c r="B172" s="723" t="s">
        <v>614</v>
      </c>
      <c r="C172" s="692"/>
      <c r="D172" s="693"/>
      <c r="E172" s="693"/>
      <c r="F172" s="693"/>
      <c r="G172" s="724" t="s">
        <v>641</v>
      </c>
    </row>
    <row r="173" spans="1:8" ht="12.75" customHeight="1" x14ac:dyDescent="0.2">
      <c r="A173" s="528"/>
      <c r="B173" s="723" t="s">
        <v>615</v>
      </c>
      <c r="C173" s="692"/>
      <c r="D173" s="693"/>
      <c r="E173" s="693"/>
      <c r="F173" s="693"/>
      <c r="G173" s="724" t="s">
        <v>642</v>
      </c>
      <c r="H173" s="695"/>
    </row>
    <row r="174" spans="1:8" ht="12.75" customHeight="1" x14ac:dyDescent="0.2">
      <c r="A174" s="528"/>
      <c r="B174" s="723" t="s">
        <v>616</v>
      </c>
      <c r="C174" s="692"/>
      <c r="D174" s="693"/>
      <c r="E174" s="693"/>
      <c r="F174" s="693"/>
      <c r="G174" s="724">
        <v>3068</v>
      </c>
      <c r="H174" s="695"/>
    </row>
    <row r="175" spans="1:8" ht="12.75" customHeight="1" x14ac:dyDescent="0.2">
      <c r="A175" s="528"/>
      <c r="B175" s="723" t="s">
        <v>617</v>
      </c>
      <c r="C175" s="692"/>
      <c r="D175" s="693"/>
      <c r="E175" s="693"/>
      <c r="F175" s="693"/>
      <c r="G175" s="724">
        <v>3069</v>
      </c>
      <c r="H175" s="695"/>
    </row>
    <row r="176" spans="1:8" ht="12.75" customHeight="1" x14ac:dyDescent="0.2">
      <c r="A176" s="528"/>
      <c r="B176" s="723" t="s">
        <v>653</v>
      </c>
      <c r="C176" s="692"/>
      <c r="D176" s="693"/>
      <c r="E176" s="693"/>
      <c r="F176" s="693"/>
      <c r="G176" s="724">
        <v>3073</v>
      </c>
    </row>
    <row r="177" spans="1:8" ht="12.75" customHeight="1" x14ac:dyDescent="0.2">
      <c r="A177" s="528"/>
      <c r="B177" s="723"/>
      <c r="C177" s="692"/>
      <c r="D177" s="693"/>
      <c r="E177" s="693"/>
      <c r="F177" s="693"/>
      <c r="G177" s="724"/>
      <c r="H177" s="695"/>
    </row>
    <row r="178" spans="1:8" ht="12.75" customHeight="1" x14ac:dyDescent="0.2">
      <c r="A178" s="528"/>
      <c r="B178" s="723"/>
      <c r="C178" s="692"/>
      <c r="D178" s="693"/>
      <c r="E178" s="693"/>
      <c r="F178" s="693"/>
      <c r="G178" s="732"/>
      <c r="H178" s="695"/>
    </row>
    <row r="179" spans="1:8" ht="12.75" customHeight="1" x14ac:dyDescent="0.2">
      <c r="A179" s="528"/>
      <c r="B179" s="694"/>
      <c r="C179" s="722"/>
      <c r="D179" s="693"/>
      <c r="E179" s="693"/>
      <c r="F179" s="693"/>
    </row>
    <row r="180" spans="1:8" ht="12.75" customHeight="1" x14ac:dyDescent="0.2">
      <c r="A180" s="528"/>
      <c r="B180" s="726" t="s">
        <v>303</v>
      </c>
      <c r="D180" s="693">
        <v>227055.12</v>
      </c>
      <c r="E180" s="725">
        <f>SUM(D180)</f>
        <v>227055.12</v>
      </c>
      <c r="F180" s="693"/>
      <c r="G180" s="683">
        <v>3001</v>
      </c>
      <c r="H180" s="695"/>
    </row>
    <row r="181" spans="1:8" ht="12.75" customHeight="1" x14ac:dyDescent="0.2">
      <c r="A181" s="528"/>
      <c r="B181" s="727" t="s">
        <v>439</v>
      </c>
      <c r="C181" s="697"/>
      <c r="D181" s="693"/>
      <c r="E181" s="725">
        <f>SUM(D182:D187)</f>
        <v>1297708.95</v>
      </c>
      <c r="F181" s="693"/>
    </row>
    <row r="182" spans="1:8" ht="12.75" customHeight="1" x14ac:dyDescent="0.2">
      <c r="A182" s="528"/>
      <c r="B182" s="694"/>
      <c r="C182" s="696" t="s">
        <v>304</v>
      </c>
      <c r="D182" s="693">
        <v>257140.65</v>
      </c>
      <c r="E182" s="693"/>
      <c r="F182" s="693"/>
      <c r="G182" s="683">
        <v>4000</v>
      </c>
    </row>
    <row r="183" spans="1:8" ht="12.75" customHeight="1" x14ac:dyDescent="0.2">
      <c r="A183" s="528"/>
      <c r="B183" s="694"/>
      <c r="C183" s="696" t="s">
        <v>305</v>
      </c>
      <c r="D183" s="693">
        <v>0</v>
      </c>
      <c r="E183" s="693"/>
      <c r="F183" s="693"/>
      <c r="G183" s="683">
        <v>4001</v>
      </c>
    </row>
    <row r="184" spans="1:8" ht="12.75" customHeight="1" x14ac:dyDescent="0.2">
      <c r="A184" s="528"/>
      <c r="B184" s="694"/>
      <c r="C184" s="696" t="s">
        <v>306</v>
      </c>
      <c r="D184" s="693">
        <v>712741.21</v>
      </c>
      <c r="E184" s="693"/>
      <c r="F184" s="693"/>
    </row>
    <row r="185" spans="1:8" ht="12.75" customHeight="1" x14ac:dyDescent="0.2">
      <c r="A185" s="528"/>
      <c r="B185" s="694"/>
      <c r="C185" s="696" t="s">
        <v>307</v>
      </c>
      <c r="D185" s="693">
        <v>3495.18</v>
      </c>
      <c r="E185" s="693"/>
      <c r="F185" s="693"/>
    </row>
    <row r="186" spans="1:8" ht="12.75" customHeight="1" x14ac:dyDescent="0.2">
      <c r="A186" s="528"/>
      <c r="B186" s="694"/>
      <c r="C186" s="697" t="s">
        <v>308</v>
      </c>
      <c r="D186" s="693">
        <v>242984.2</v>
      </c>
      <c r="E186" s="693"/>
      <c r="F186" s="693"/>
    </row>
    <row r="187" spans="1:8" ht="12.75" customHeight="1" x14ac:dyDescent="0.2">
      <c r="A187" s="528"/>
      <c r="B187" s="694"/>
      <c r="C187" s="697" t="s">
        <v>121</v>
      </c>
      <c r="D187" s="693">
        <v>81347.710000000006</v>
      </c>
      <c r="E187" s="693"/>
      <c r="F187" s="693"/>
    </row>
    <row r="188" spans="1:8" ht="12.75" customHeight="1" x14ac:dyDescent="0.2">
      <c r="A188" s="698"/>
      <c r="B188" s="699" t="s">
        <v>309</v>
      </c>
      <c r="C188" s="730"/>
      <c r="D188" s="693"/>
      <c r="E188" s="701"/>
      <c r="F188" s="701"/>
    </row>
    <row r="189" spans="1:8" ht="12.75" customHeight="1" x14ac:dyDescent="0.2">
      <c r="A189" s="698"/>
      <c r="B189" s="729" t="s">
        <v>310</v>
      </c>
      <c r="D189" s="693">
        <v>0</v>
      </c>
      <c r="E189" s="728">
        <f>D189</f>
        <v>0</v>
      </c>
      <c r="F189" s="701"/>
      <c r="G189" s="683">
        <v>5000</v>
      </c>
    </row>
    <row r="190" spans="1:8" ht="12.75" customHeight="1" thickBot="1" x14ac:dyDescent="0.25">
      <c r="A190" s="702"/>
      <c r="B190" s="703"/>
      <c r="C190" s="704"/>
      <c r="D190" s="705"/>
      <c r="E190" s="706"/>
      <c r="F190" s="731">
        <f>SUM(E139:E189)</f>
        <v>2594108.0099999998</v>
      </c>
      <c r="H190" s="707">
        <f>'Sched-B1'!B7+'Sched-B2'!E71+'Sched-D1'!F190-11855036.58-835071.26</f>
        <v>0</v>
      </c>
    </row>
    <row r="191" spans="1:8" ht="12.75" customHeight="1" x14ac:dyDescent="0.2">
      <c r="A191" s="688" t="s">
        <v>656</v>
      </c>
      <c r="B191" s="907" t="s">
        <v>860</v>
      </c>
      <c r="C191" s="689"/>
      <c r="D191" s="690"/>
      <c r="E191" s="859">
        <f>5466.8+2018.39</f>
        <v>7485.1900000000005</v>
      </c>
      <c r="F191" s="691"/>
      <c r="G191" s="724" t="s">
        <v>862</v>
      </c>
    </row>
    <row r="192" spans="1:8" ht="12.75" customHeight="1" x14ac:dyDescent="0.2">
      <c r="A192" s="528"/>
      <c r="B192" s="721" t="s">
        <v>590</v>
      </c>
      <c r="C192" s="692"/>
      <c r="D192" s="693">
        <v>2102687.96</v>
      </c>
      <c r="E192" s="725">
        <f>SUM(D192:D231)</f>
        <v>5479243.2400000002</v>
      </c>
      <c r="F192" s="693"/>
      <c r="H192" s="695">
        <f>E192+H193</f>
        <v>5487229.2400000002</v>
      </c>
    </row>
    <row r="193" spans="1:9" ht="12.75" customHeight="1" x14ac:dyDescent="0.2">
      <c r="A193" s="528"/>
      <c r="B193" s="733" t="s">
        <v>937</v>
      </c>
      <c r="C193" s="692"/>
      <c r="D193" s="693">
        <v>-7986</v>
      </c>
      <c r="E193" s="725"/>
      <c r="F193" s="693"/>
      <c r="H193" s="784">
        <v>7986</v>
      </c>
      <c r="I193" s="683" t="s">
        <v>938</v>
      </c>
    </row>
    <row r="194" spans="1:9" ht="12.75" customHeight="1" x14ac:dyDescent="0.2">
      <c r="A194" s="528"/>
      <c r="B194" s="723" t="s">
        <v>591</v>
      </c>
      <c r="C194" s="692"/>
      <c r="D194" s="693"/>
      <c r="E194" s="693"/>
      <c r="F194" s="693"/>
      <c r="G194" s="724" t="s">
        <v>618</v>
      </c>
    </row>
    <row r="195" spans="1:9" ht="12.75" customHeight="1" x14ac:dyDescent="0.2">
      <c r="A195" s="528"/>
      <c r="B195" s="723" t="s">
        <v>592</v>
      </c>
      <c r="C195" s="692"/>
      <c r="D195" s="693"/>
      <c r="E195" s="693"/>
      <c r="F195" s="693"/>
      <c r="G195" s="724" t="s">
        <v>619</v>
      </c>
    </row>
    <row r="196" spans="1:9" ht="12.75" customHeight="1" x14ac:dyDescent="0.2">
      <c r="A196" s="528"/>
      <c r="B196" s="723" t="s">
        <v>650</v>
      </c>
      <c r="C196" s="692"/>
      <c r="D196" s="693"/>
      <c r="E196" s="693"/>
      <c r="F196" s="693"/>
      <c r="G196" s="724">
        <v>3003</v>
      </c>
    </row>
    <row r="197" spans="1:9" ht="12.75" customHeight="1" x14ac:dyDescent="0.2">
      <c r="A197" s="528"/>
      <c r="B197" s="723" t="s">
        <v>593</v>
      </c>
      <c r="C197" s="692"/>
      <c r="D197" s="693"/>
      <c r="E197" s="693"/>
      <c r="F197" s="693"/>
      <c r="G197" s="724" t="s">
        <v>620</v>
      </c>
    </row>
    <row r="198" spans="1:9" ht="12.75" customHeight="1" x14ac:dyDescent="0.2">
      <c r="A198" s="528"/>
      <c r="B198" s="723" t="s">
        <v>594</v>
      </c>
      <c r="C198" s="692"/>
      <c r="D198" s="693"/>
      <c r="E198" s="693"/>
      <c r="F198" s="693"/>
      <c r="G198" s="724" t="s">
        <v>621</v>
      </c>
    </row>
    <row r="199" spans="1:9" ht="12.75" customHeight="1" x14ac:dyDescent="0.2">
      <c r="A199" s="528"/>
      <c r="B199" s="723" t="s">
        <v>595</v>
      </c>
      <c r="C199" s="692"/>
      <c r="D199" s="693"/>
      <c r="E199" s="693"/>
      <c r="F199" s="693"/>
      <c r="G199" s="724" t="s">
        <v>622</v>
      </c>
    </row>
    <row r="200" spans="1:9" ht="12.75" customHeight="1" x14ac:dyDescent="0.2">
      <c r="A200" s="528"/>
      <c r="B200" s="733" t="s">
        <v>50</v>
      </c>
      <c r="C200" s="692"/>
      <c r="D200" s="693">
        <v>3384541.28</v>
      </c>
      <c r="E200" s="693"/>
      <c r="F200" s="693"/>
      <c r="G200" s="724"/>
    </row>
    <row r="201" spans="1:9" ht="12.75" customHeight="1" x14ac:dyDescent="0.2">
      <c r="A201" s="528"/>
      <c r="B201" s="723" t="s">
        <v>655</v>
      </c>
      <c r="C201" s="692"/>
      <c r="D201" s="693"/>
      <c r="E201" s="693"/>
      <c r="F201" s="693"/>
      <c r="G201" s="724">
        <v>3029</v>
      </c>
    </row>
    <row r="202" spans="1:9" ht="12.75" customHeight="1" x14ac:dyDescent="0.2">
      <c r="A202" s="528"/>
      <c r="B202" s="723" t="s">
        <v>596</v>
      </c>
      <c r="C202" s="692"/>
      <c r="D202" s="693"/>
      <c r="E202" s="693"/>
      <c r="F202" s="693"/>
      <c r="G202" s="724" t="s">
        <v>623</v>
      </c>
    </row>
    <row r="203" spans="1:9" ht="12.75" customHeight="1" x14ac:dyDescent="0.2">
      <c r="A203" s="528"/>
      <c r="B203" s="723" t="s">
        <v>597</v>
      </c>
      <c r="C203" s="692"/>
      <c r="D203" s="693"/>
      <c r="E203" s="693"/>
      <c r="F203" s="693"/>
      <c r="G203" s="724" t="s">
        <v>624</v>
      </c>
    </row>
    <row r="204" spans="1:9" ht="12.75" customHeight="1" x14ac:dyDescent="0.2">
      <c r="A204" s="528"/>
      <c r="B204" s="723" t="s">
        <v>647</v>
      </c>
      <c r="C204" s="692"/>
      <c r="D204" s="693"/>
      <c r="E204" s="693"/>
      <c r="F204" s="693"/>
      <c r="G204" s="724">
        <v>3034</v>
      </c>
    </row>
    <row r="205" spans="1:9" ht="12.75" customHeight="1" x14ac:dyDescent="0.2">
      <c r="A205" s="528"/>
      <c r="B205" s="723" t="s">
        <v>598</v>
      </c>
      <c r="C205" s="692"/>
      <c r="D205" s="693"/>
      <c r="E205" s="693"/>
      <c r="F205" s="693"/>
      <c r="G205" s="724" t="s">
        <v>625</v>
      </c>
    </row>
    <row r="206" spans="1:9" ht="12.75" customHeight="1" x14ac:dyDescent="0.2">
      <c r="A206" s="528"/>
      <c r="B206" s="723" t="s">
        <v>599</v>
      </c>
      <c r="C206" s="692"/>
      <c r="D206" s="693"/>
      <c r="E206" s="693"/>
      <c r="F206" s="693"/>
      <c r="G206" s="724" t="s">
        <v>626</v>
      </c>
    </row>
    <row r="207" spans="1:9" ht="12.75" customHeight="1" x14ac:dyDescent="0.2">
      <c r="A207" s="528"/>
      <c r="B207" s="723" t="s">
        <v>600</v>
      </c>
      <c r="C207" s="692"/>
      <c r="D207" s="693"/>
      <c r="E207" s="693"/>
      <c r="F207" s="693"/>
      <c r="G207" s="724" t="s">
        <v>627</v>
      </c>
    </row>
    <row r="208" spans="1:9" ht="12.75" customHeight="1" x14ac:dyDescent="0.2">
      <c r="A208" s="528"/>
      <c r="B208" s="723" t="s">
        <v>601</v>
      </c>
      <c r="C208" s="692"/>
      <c r="D208" s="693"/>
      <c r="E208" s="693"/>
      <c r="F208" s="693"/>
      <c r="G208" s="724" t="s">
        <v>628</v>
      </c>
    </row>
    <row r="209" spans="1:7" ht="12.75" customHeight="1" x14ac:dyDescent="0.2">
      <c r="A209" s="528"/>
      <c r="B209" s="723" t="s">
        <v>602</v>
      </c>
      <c r="C209" s="692"/>
      <c r="D209" s="693"/>
      <c r="E209" s="693"/>
      <c r="F209" s="693"/>
      <c r="G209" s="724" t="s">
        <v>629</v>
      </c>
    </row>
    <row r="210" spans="1:7" ht="12.75" customHeight="1" x14ac:dyDescent="0.2">
      <c r="A210" s="528"/>
      <c r="B210" s="723" t="s">
        <v>603</v>
      </c>
      <c r="C210" s="692"/>
      <c r="D210" s="693"/>
      <c r="E210" s="693"/>
      <c r="F210" s="693"/>
      <c r="G210" s="724" t="s">
        <v>630</v>
      </c>
    </row>
    <row r="211" spans="1:7" ht="12.75" customHeight="1" x14ac:dyDescent="0.2">
      <c r="A211" s="528"/>
      <c r="B211" s="723" t="s">
        <v>657</v>
      </c>
      <c r="C211" s="692"/>
      <c r="D211" s="693"/>
      <c r="E211" s="693"/>
      <c r="F211" s="693"/>
      <c r="G211" s="724">
        <v>3042</v>
      </c>
    </row>
    <row r="212" spans="1:7" ht="12.75" customHeight="1" x14ac:dyDescent="0.2">
      <c r="A212" s="528"/>
      <c r="B212" s="723" t="s">
        <v>604</v>
      </c>
      <c r="C212" s="692"/>
      <c r="D212" s="693"/>
      <c r="E212" s="693"/>
      <c r="F212" s="693"/>
      <c r="G212" s="724" t="s">
        <v>631</v>
      </c>
    </row>
    <row r="213" spans="1:7" ht="12.75" customHeight="1" x14ac:dyDescent="0.2">
      <c r="A213" s="528"/>
      <c r="B213" s="723" t="s">
        <v>605</v>
      </c>
      <c r="C213" s="692"/>
      <c r="D213" s="693"/>
      <c r="E213" s="693"/>
      <c r="F213" s="693"/>
      <c r="G213" s="724" t="s">
        <v>632</v>
      </c>
    </row>
    <row r="214" spans="1:7" ht="12.75" customHeight="1" x14ac:dyDescent="0.2">
      <c r="A214" s="528"/>
      <c r="B214" s="723" t="s">
        <v>606</v>
      </c>
      <c r="C214" s="692"/>
      <c r="D214" s="693"/>
      <c r="E214" s="693"/>
      <c r="F214" s="693"/>
      <c r="G214" s="724" t="s">
        <v>633</v>
      </c>
    </row>
    <row r="215" spans="1:7" ht="12.75" customHeight="1" x14ac:dyDescent="0.2">
      <c r="A215" s="528"/>
      <c r="B215" s="723" t="s">
        <v>648</v>
      </c>
      <c r="C215" s="692"/>
      <c r="D215" s="693"/>
      <c r="E215" s="693"/>
      <c r="F215" s="693"/>
      <c r="G215" s="724">
        <v>3048</v>
      </c>
    </row>
    <row r="216" spans="1:7" ht="12.75" customHeight="1" x14ac:dyDescent="0.2">
      <c r="A216" s="528"/>
      <c r="B216" s="723" t="s">
        <v>607</v>
      </c>
      <c r="C216" s="692"/>
      <c r="D216" s="693"/>
      <c r="E216" s="693"/>
      <c r="F216" s="693"/>
      <c r="G216" s="724" t="s">
        <v>634</v>
      </c>
    </row>
    <row r="217" spans="1:7" ht="12.75" customHeight="1" x14ac:dyDescent="0.2">
      <c r="A217" s="528"/>
      <c r="B217" s="723" t="s">
        <v>608</v>
      </c>
      <c r="C217" s="692"/>
      <c r="D217" s="693"/>
      <c r="E217" s="693"/>
      <c r="F217" s="693"/>
      <c r="G217" s="724" t="s">
        <v>635</v>
      </c>
    </row>
    <row r="218" spans="1:7" ht="12.75" customHeight="1" x14ac:dyDescent="0.2">
      <c r="A218" s="528"/>
      <c r="B218" s="723" t="s">
        <v>651</v>
      </c>
      <c r="C218" s="692"/>
      <c r="D218" s="693"/>
      <c r="E218" s="693"/>
      <c r="F218" s="693"/>
      <c r="G218" s="724">
        <v>3051</v>
      </c>
    </row>
    <row r="219" spans="1:7" ht="12.75" customHeight="1" x14ac:dyDescent="0.2">
      <c r="A219" s="528"/>
      <c r="B219" s="723" t="s">
        <v>609</v>
      </c>
      <c r="C219" s="692"/>
      <c r="D219" s="693"/>
      <c r="E219" s="693"/>
      <c r="F219" s="693"/>
      <c r="G219" s="724" t="s">
        <v>636</v>
      </c>
    </row>
    <row r="220" spans="1:7" ht="12.75" customHeight="1" x14ac:dyDescent="0.2">
      <c r="A220" s="528"/>
      <c r="B220" s="723" t="s">
        <v>652</v>
      </c>
      <c r="C220" s="692"/>
      <c r="D220" s="693"/>
      <c r="E220" s="693"/>
      <c r="F220" s="693"/>
      <c r="G220" s="724">
        <v>3056</v>
      </c>
    </row>
    <row r="221" spans="1:7" ht="12.75" customHeight="1" x14ac:dyDescent="0.2">
      <c r="A221" s="528"/>
      <c r="B221" s="723" t="s">
        <v>610</v>
      </c>
      <c r="C221" s="692"/>
      <c r="D221" s="693"/>
      <c r="E221" s="693"/>
      <c r="F221" s="693"/>
      <c r="G221" s="724">
        <v>3057</v>
      </c>
    </row>
    <row r="222" spans="1:7" ht="12.75" customHeight="1" x14ac:dyDescent="0.2">
      <c r="A222" s="528"/>
      <c r="B222" s="723" t="s">
        <v>611</v>
      </c>
      <c r="C222" s="692"/>
      <c r="D222" s="693"/>
      <c r="E222" s="693"/>
      <c r="F222" s="693"/>
      <c r="G222" s="724" t="s">
        <v>638</v>
      </c>
    </row>
    <row r="223" spans="1:7" ht="12.75" customHeight="1" x14ac:dyDescent="0.2">
      <c r="A223" s="528"/>
      <c r="B223" s="723" t="s">
        <v>612</v>
      </c>
      <c r="C223" s="692"/>
      <c r="D223" s="693"/>
      <c r="E223" s="693"/>
      <c r="F223" s="693"/>
      <c r="G223" s="724" t="s">
        <v>639</v>
      </c>
    </row>
    <row r="224" spans="1:7" ht="12.75" customHeight="1" x14ac:dyDescent="0.2">
      <c r="A224" s="528"/>
      <c r="B224" s="723" t="s">
        <v>649</v>
      </c>
      <c r="C224" s="692"/>
      <c r="D224" s="693"/>
      <c r="E224" s="693"/>
      <c r="F224" s="693"/>
      <c r="G224" s="724">
        <v>3061</v>
      </c>
    </row>
    <row r="225" spans="1:8" ht="12.75" customHeight="1" x14ac:dyDescent="0.2">
      <c r="A225" s="528"/>
      <c r="B225" s="723" t="s">
        <v>658</v>
      </c>
      <c r="C225" s="692"/>
      <c r="D225" s="693"/>
      <c r="E225" s="693"/>
      <c r="F225" s="693"/>
      <c r="G225" s="724">
        <v>3063</v>
      </c>
    </row>
    <row r="226" spans="1:8" ht="12.75" customHeight="1" x14ac:dyDescent="0.2">
      <c r="A226" s="528"/>
      <c r="B226" s="723" t="s">
        <v>613</v>
      </c>
      <c r="C226" s="692"/>
      <c r="D226" s="693"/>
      <c r="E226" s="693"/>
      <c r="F226" s="693"/>
      <c r="G226" s="724" t="s">
        <v>640</v>
      </c>
    </row>
    <row r="227" spans="1:8" ht="12.75" customHeight="1" x14ac:dyDescent="0.2">
      <c r="A227" s="528"/>
      <c r="B227" s="723" t="s">
        <v>614</v>
      </c>
      <c r="C227" s="692"/>
      <c r="D227" s="693"/>
      <c r="E227" s="693"/>
      <c r="F227" s="693"/>
      <c r="G227" s="724" t="s">
        <v>641</v>
      </c>
    </row>
    <row r="228" spans="1:8" ht="12.75" customHeight="1" x14ac:dyDescent="0.2">
      <c r="A228" s="528"/>
      <c r="B228" s="723" t="s">
        <v>615</v>
      </c>
      <c r="C228" s="692"/>
      <c r="D228" s="693"/>
      <c r="E228" s="693"/>
      <c r="F228" s="693"/>
      <c r="G228" s="724" t="s">
        <v>642</v>
      </c>
      <c r="H228" s="695"/>
    </row>
    <row r="229" spans="1:8" ht="12.75" customHeight="1" x14ac:dyDescent="0.2">
      <c r="A229" s="528"/>
      <c r="B229" s="723" t="s">
        <v>616</v>
      </c>
      <c r="C229" s="692"/>
      <c r="D229" s="693"/>
      <c r="E229" s="693"/>
      <c r="F229" s="693"/>
      <c r="G229" s="724">
        <v>3068</v>
      </c>
      <c r="H229" s="695"/>
    </row>
    <row r="230" spans="1:8" ht="12.75" customHeight="1" x14ac:dyDescent="0.2">
      <c r="A230" s="528"/>
      <c r="B230" s="723" t="s">
        <v>617</v>
      </c>
      <c r="C230" s="692"/>
      <c r="D230" s="693"/>
      <c r="E230" s="693"/>
      <c r="F230" s="693"/>
      <c r="G230" s="724">
        <v>3069</v>
      </c>
      <c r="H230" s="695"/>
    </row>
    <row r="231" spans="1:8" ht="12.75" customHeight="1" x14ac:dyDescent="0.2">
      <c r="A231" s="528"/>
      <c r="B231" s="723" t="s">
        <v>653</v>
      </c>
      <c r="C231" s="692"/>
      <c r="D231" s="693">
        <v>0</v>
      </c>
      <c r="E231" s="693"/>
      <c r="F231" s="693"/>
      <c r="G231" s="724">
        <v>3073</v>
      </c>
    </row>
    <row r="232" spans="1:8" ht="12.75" customHeight="1" x14ac:dyDescent="0.2">
      <c r="A232" s="528"/>
      <c r="B232" s="726" t="s">
        <v>303</v>
      </c>
      <c r="D232" s="693">
        <v>756307.97</v>
      </c>
      <c r="E232" s="725">
        <f>SUM(D232)</f>
        <v>756307.97</v>
      </c>
      <c r="F232" s="693"/>
      <c r="G232" s="683">
        <v>3001</v>
      </c>
      <c r="H232" s="695"/>
    </row>
    <row r="233" spans="1:8" ht="12.75" customHeight="1" x14ac:dyDescent="0.2">
      <c r="A233" s="528"/>
      <c r="B233" s="727" t="s">
        <v>439</v>
      </c>
      <c r="C233" s="697"/>
      <c r="D233" s="693"/>
      <c r="E233" s="725">
        <f>SUM(D234:D239)</f>
        <v>3619855.27</v>
      </c>
      <c r="F233" s="693"/>
    </row>
    <row r="234" spans="1:8" ht="12.75" customHeight="1" x14ac:dyDescent="0.2">
      <c r="A234" s="528"/>
      <c r="B234" s="694"/>
      <c r="C234" s="696" t="s">
        <v>304</v>
      </c>
      <c r="D234" s="693">
        <v>171163.8</v>
      </c>
      <c r="E234" s="693"/>
      <c r="F234" s="693"/>
      <c r="G234" s="683">
        <v>4000</v>
      </c>
    </row>
    <row r="235" spans="1:8" ht="12.75" customHeight="1" x14ac:dyDescent="0.2">
      <c r="A235" s="528"/>
      <c r="B235" s="694"/>
      <c r="C235" s="696" t="s">
        <v>305</v>
      </c>
      <c r="D235" s="693">
        <v>1172.08</v>
      </c>
      <c r="E235" s="693"/>
      <c r="F235" s="693"/>
      <c r="G235" s="683">
        <v>4001</v>
      </c>
    </row>
    <row r="236" spans="1:8" ht="12.75" customHeight="1" x14ac:dyDescent="0.2">
      <c r="A236" s="528"/>
      <c r="B236" s="694"/>
      <c r="C236" s="696" t="s">
        <v>306</v>
      </c>
      <c r="D236" s="693">
        <v>3087189.8</v>
      </c>
      <c r="E236" s="693"/>
      <c r="F236" s="693"/>
    </row>
    <row r="237" spans="1:8" ht="12.75" customHeight="1" x14ac:dyDescent="0.2">
      <c r="A237" s="528"/>
      <c r="B237" s="694"/>
      <c r="C237" s="696" t="s">
        <v>307</v>
      </c>
      <c r="D237" s="693">
        <v>2195.25</v>
      </c>
      <c r="E237" s="693"/>
      <c r="F237" s="693"/>
    </row>
    <row r="238" spans="1:8" ht="12.75" customHeight="1" x14ac:dyDescent="0.2">
      <c r="A238" s="528"/>
      <c r="B238" s="694"/>
      <c r="C238" s="697" t="s">
        <v>308</v>
      </c>
      <c r="D238" s="693">
        <v>85273.45</v>
      </c>
      <c r="E238" s="693"/>
      <c r="F238" s="693"/>
    </row>
    <row r="239" spans="1:8" ht="12.75" customHeight="1" x14ac:dyDescent="0.2">
      <c r="A239" s="528"/>
      <c r="B239" s="694"/>
      <c r="C239" s="697" t="s">
        <v>121</v>
      </c>
      <c r="D239" s="693">
        <v>272860.89</v>
      </c>
      <c r="E239" s="693"/>
      <c r="F239" s="693"/>
    </row>
    <row r="240" spans="1:8" ht="12.75" customHeight="1" x14ac:dyDescent="0.2">
      <c r="A240" s="698"/>
      <c r="B240" s="699" t="s">
        <v>309</v>
      </c>
      <c r="C240" s="730"/>
      <c r="D240" s="693"/>
      <c r="E240" s="701"/>
      <c r="F240" s="701"/>
    </row>
    <row r="241" spans="1:8" ht="12.75" customHeight="1" x14ac:dyDescent="0.2">
      <c r="A241" s="698"/>
      <c r="B241" s="729" t="s">
        <v>310</v>
      </c>
      <c r="D241" s="693">
        <v>0</v>
      </c>
      <c r="E241" s="728">
        <f>D241</f>
        <v>0</v>
      </c>
      <c r="F241" s="701"/>
      <c r="G241" s="683">
        <v>5000</v>
      </c>
    </row>
    <row r="242" spans="1:8" ht="12.75" customHeight="1" thickBot="1" x14ac:dyDescent="0.25">
      <c r="A242" s="702"/>
      <c r="B242" s="703"/>
      <c r="C242" s="704"/>
      <c r="D242" s="705"/>
      <c r="E242" s="706"/>
      <c r="F242" s="731">
        <f>SUM(E191:E241)</f>
        <v>9862891.6699999999</v>
      </c>
      <c r="H242" s="707">
        <f>'Sched-B1'!B8+'Sched-B2'!E88+'Sched-D1'!F242-37151504.25-3384541.28+7986</f>
        <v>1.3969838619232178E-9</v>
      </c>
    </row>
    <row r="243" spans="1:8" ht="12.75" customHeight="1" x14ac:dyDescent="0.2">
      <c r="A243" s="688" t="s">
        <v>15</v>
      </c>
      <c r="B243" s="907" t="s">
        <v>860</v>
      </c>
      <c r="C243" s="689"/>
      <c r="D243" s="690"/>
      <c r="E243" s="859">
        <v>20708.04</v>
      </c>
      <c r="F243" s="691"/>
      <c r="G243" s="683">
        <v>2000</v>
      </c>
    </row>
    <row r="244" spans="1:8" ht="12.75" customHeight="1" x14ac:dyDescent="0.2">
      <c r="A244" s="528"/>
      <c r="B244" s="721" t="s">
        <v>590</v>
      </c>
      <c r="C244" s="692"/>
      <c r="D244" s="693">
        <v>76667.69</v>
      </c>
      <c r="E244" s="725">
        <f>SUM(D244:D285)</f>
        <v>214589.25</v>
      </c>
      <c r="F244" s="693"/>
      <c r="H244" s="683" t="s">
        <v>863</v>
      </c>
    </row>
    <row r="245" spans="1:8" ht="12.75" customHeight="1" x14ac:dyDescent="0.2">
      <c r="A245" s="528"/>
      <c r="B245" s="723" t="s">
        <v>591</v>
      </c>
      <c r="C245" s="692"/>
      <c r="D245" s="693"/>
      <c r="E245" s="693"/>
      <c r="F245" s="693"/>
      <c r="G245" s="724" t="s">
        <v>618</v>
      </c>
    </row>
    <row r="246" spans="1:8" ht="12.75" customHeight="1" x14ac:dyDescent="0.2">
      <c r="A246" s="528"/>
      <c r="B246" s="723" t="s">
        <v>592</v>
      </c>
      <c r="C246" s="692"/>
      <c r="D246" s="693"/>
      <c r="E246" s="693"/>
      <c r="F246" s="693"/>
      <c r="G246" s="724" t="s">
        <v>619</v>
      </c>
    </row>
    <row r="247" spans="1:8" ht="12.75" customHeight="1" x14ac:dyDescent="0.2">
      <c r="A247" s="528"/>
      <c r="B247" s="723" t="s">
        <v>650</v>
      </c>
      <c r="C247" s="692"/>
      <c r="D247" s="693"/>
      <c r="E247" s="693"/>
      <c r="F247" s="693"/>
      <c r="G247" s="724">
        <v>3003</v>
      </c>
    </row>
    <row r="248" spans="1:8" ht="12.75" customHeight="1" x14ac:dyDescent="0.2">
      <c r="A248" s="528"/>
      <c r="B248" s="723" t="s">
        <v>593</v>
      </c>
      <c r="C248" s="692"/>
      <c r="D248" s="693"/>
      <c r="E248" s="693"/>
      <c r="F248" s="693"/>
      <c r="G248" s="724" t="s">
        <v>620</v>
      </c>
    </row>
    <row r="249" spans="1:8" ht="12.75" customHeight="1" x14ac:dyDescent="0.2">
      <c r="A249" s="528"/>
      <c r="B249" s="723" t="s">
        <v>661</v>
      </c>
      <c r="C249" s="692"/>
      <c r="D249" s="693"/>
      <c r="E249" s="693"/>
      <c r="F249" s="693"/>
      <c r="G249" s="724">
        <v>3014</v>
      </c>
    </row>
    <row r="250" spans="1:8" ht="12.75" customHeight="1" x14ac:dyDescent="0.2">
      <c r="A250" s="528"/>
      <c r="B250" s="723" t="s">
        <v>594</v>
      </c>
      <c r="C250" s="692"/>
      <c r="D250" s="693"/>
      <c r="E250" s="693"/>
      <c r="F250" s="693"/>
      <c r="G250" s="724" t="s">
        <v>621</v>
      </c>
    </row>
    <row r="251" spans="1:8" ht="12.75" customHeight="1" x14ac:dyDescent="0.2">
      <c r="A251" s="528"/>
      <c r="B251" s="723" t="s">
        <v>595</v>
      </c>
      <c r="C251" s="692"/>
      <c r="D251" s="693"/>
      <c r="E251" s="693"/>
      <c r="F251" s="693"/>
      <c r="G251" s="724" t="s">
        <v>622</v>
      </c>
    </row>
    <row r="252" spans="1:8" ht="12.75" customHeight="1" x14ac:dyDescent="0.2">
      <c r="A252" s="528"/>
      <c r="B252" s="733" t="s">
        <v>50</v>
      </c>
      <c r="C252" s="692"/>
      <c r="D252" s="693">
        <v>137921.56</v>
      </c>
      <c r="E252" s="693"/>
      <c r="F252" s="693"/>
      <c r="G252" s="724"/>
    </row>
    <row r="253" spans="1:8" ht="12.75" customHeight="1" x14ac:dyDescent="0.2">
      <c r="A253" s="528"/>
      <c r="B253" s="723" t="s">
        <v>655</v>
      </c>
      <c r="C253" s="692"/>
      <c r="D253" s="693"/>
      <c r="E253" s="693"/>
      <c r="F253" s="693"/>
      <c r="G253" s="724">
        <v>3029</v>
      </c>
    </row>
    <row r="254" spans="1:8" ht="12.75" customHeight="1" x14ac:dyDescent="0.2">
      <c r="A254" s="528"/>
      <c r="B254" s="723" t="s">
        <v>596</v>
      </c>
      <c r="C254" s="692"/>
      <c r="D254" s="693"/>
      <c r="E254" s="693"/>
      <c r="F254" s="693"/>
      <c r="G254" s="724" t="s">
        <v>623</v>
      </c>
    </row>
    <row r="255" spans="1:8" ht="12.75" customHeight="1" x14ac:dyDescent="0.2">
      <c r="A255" s="528"/>
      <c r="B255" s="723" t="s">
        <v>597</v>
      </c>
      <c r="C255" s="692"/>
      <c r="D255" s="693"/>
      <c r="E255" s="693"/>
      <c r="F255" s="693"/>
      <c r="G255" s="724" t="s">
        <v>624</v>
      </c>
    </row>
    <row r="256" spans="1:8" ht="12.75" customHeight="1" x14ac:dyDescent="0.2">
      <c r="A256" s="528"/>
      <c r="B256" s="723" t="s">
        <v>647</v>
      </c>
      <c r="C256" s="692"/>
      <c r="D256" s="693"/>
      <c r="E256" s="693"/>
      <c r="F256" s="693"/>
      <c r="G256" s="724">
        <v>3034</v>
      </c>
    </row>
    <row r="257" spans="1:7" ht="12.75" customHeight="1" x14ac:dyDescent="0.2">
      <c r="A257" s="528"/>
      <c r="B257" s="723" t="s">
        <v>598</v>
      </c>
      <c r="C257" s="692"/>
      <c r="D257" s="693"/>
      <c r="E257" s="693"/>
      <c r="F257" s="693"/>
      <c r="G257" s="724" t="s">
        <v>625</v>
      </c>
    </row>
    <row r="258" spans="1:7" ht="12.75" customHeight="1" x14ac:dyDescent="0.2">
      <c r="A258" s="528"/>
      <c r="B258" s="723" t="s">
        <v>599</v>
      </c>
      <c r="C258" s="692"/>
      <c r="D258" s="693"/>
      <c r="E258" s="693"/>
      <c r="F258" s="693"/>
      <c r="G258" s="724" t="s">
        <v>626</v>
      </c>
    </row>
    <row r="259" spans="1:7" ht="12.75" customHeight="1" x14ac:dyDescent="0.2">
      <c r="A259" s="528"/>
      <c r="B259" s="723" t="s">
        <v>600</v>
      </c>
      <c r="C259" s="692"/>
      <c r="D259" s="693"/>
      <c r="E259" s="693"/>
      <c r="F259" s="693"/>
      <c r="G259" s="724" t="s">
        <v>627</v>
      </c>
    </row>
    <row r="260" spans="1:7" ht="12.75" customHeight="1" x14ac:dyDescent="0.2">
      <c r="A260" s="528"/>
      <c r="B260" s="723" t="s">
        <v>601</v>
      </c>
      <c r="C260" s="692"/>
      <c r="D260" s="693"/>
      <c r="E260" s="693"/>
      <c r="F260" s="693"/>
      <c r="G260" s="724" t="s">
        <v>628</v>
      </c>
    </row>
    <row r="261" spans="1:7" ht="12.75" customHeight="1" x14ac:dyDescent="0.2">
      <c r="A261" s="528"/>
      <c r="B261" s="723" t="s">
        <v>602</v>
      </c>
      <c r="C261" s="692"/>
      <c r="D261" s="693"/>
      <c r="E261" s="693"/>
      <c r="F261" s="693"/>
      <c r="G261" s="724" t="s">
        <v>629</v>
      </c>
    </row>
    <row r="262" spans="1:7" ht="12.75" customHeight="1" x14ac:dyDescent="0.2">
      <c r="A262" s="528"/>
      <c r="B262" s="723" t="s">
        <v>603</v>
      </c>
      <c r="C262" s="692"/>
      <c r="D262" s="693"/>
      <c r="E262" s="693"/>
      <c r="F262" s="693"/>
      <c r="G262" s="724" t="s">
        <v>630</v>
      </c>
    </row>
    <row r="263" spans="1:7" ht="12.75" customHeight="1" x14ac:dyDescent="0.2">
      <c r="A263" s="528"/>
      <c r="B263" s="723" t="s">
        <v>657</v>
      </c>
      <c r="C263" s="692"/>
      <c r="D263" s="693"/>
      <c r="E263" s="693"/>
      <c r="F263" s="693"/>
      <c r="G263" s="724">
        <v>3042</v>
      </c>
    </row>
    <row r="264" spans="1:7" ht="12.75" customHeight="1" x14ac:dyDescent="0.2">
      <c r="A264" s="528"/>
      <c r="B264" s="723" t="s">
        <v>604</v>
      </c>
      <c r="C264" s="692"/>
      <c r="D264" s="693"/>
      <c r="E264" s="693"/>
      <c r="F264" s="693"/>
      <c r="G264" s="724" t="s">
        <v>631</v>
      </c>
    </row>
    <row r="265" spans="1:7" ht="12.75" customHeight="1" x14ac:dyDescent="0.2">
      <c r="A265" s="528"/>
      <c r="B265" s="723" t="s">
        <v>605</v>
      </c>
      <c r="C265" s="692"/>
      <c r="D265" s="693"/>
      <c r="E265" s="693"/>
      <c r="F265" s="693"/>
      <c r="G265" s="724" t="s">
        <v>632</v>
      </c>
    </row>
    <row r="266" spans="1:7" ht="12.75" customHeight="1" x14ac:dyDescent="0.2">
      <c r="A266" s="528"/>
      <c r="B266" s="723" t="s">
        <v>606</v>
      </c>
      <c r="C266" s="692"/>
      <c r="D266" s="693"/>
      <c r="E266" s="693"/>
      <c r="F266" s="693"/>
      <c r="G266" s="724" t="s">
        <v>633</v>
      </c>
    </row>
    <row r="267" spans="1:7" ht="12.75" customHeight="1" x14ac:dyDescent="0.2">
      <c r="A267" s="528"/>
      <c r="B267" s="723" t="s">
        <v>648</v>
      </c>
      <c r="C267" s="692"/>
      <c r="D267" s="693">
        <v>0</v>
      </c>
      <c r="E267" s="693"/>
      <c r="F267" s="693"/>
      <c r="G267" s="724">
        <v>3048</v>
      </c>
    </row>
    <row r="268" spans="1:7" ht="12.75" customHeight="1" x14ac:dyDescent="0.2">
      <c r="A268" s="528"/>
      <c r="B268" s="723" t="s">
        <v>607</v>
      </c>
      <c r="C268" s="692"/>
      <c r="D268" s="693">
        <v>0</v>
      </c>
      <c r="E268" s="693"/>
      <c r="F268" s="693"/>
      <c r="G268" s="724" t="s">
        <v>634</v>
      </c>
    </row>
    <row r="269" spans="1:7" ht="12.75" customHeight="1" x14ac:dyDescent="0.2">
      <c r="A269" s="528"/>
      <c r="B269" s="723" t="s">
        <v>608</v>
      </c>
      <c r="C269" s="692"/>
      <c r="D269" s="693">
        <v>0</v>
      </c>
      <c r="E269" s="693"/>
      <c r="F269" s="693"/>
      <c r="G269" s="724" t="s">
        <v>635</v>
      </c>
    </row>
    <row r="270" spans="1:7" ht="12.75" customHeight="1" x14ac:dyDescent="0.2">
      <c r="A270" s="528"/>
      <c r="B270" s="723" t="s">
        <v>651</v>
      </c>
      <c r="C270" s="692"/>
      <c r="D270" s="693">
        <v>0</v>
      </c>
      <c r="E270" s="693"/>
      <c r="F270" s="693"/>
      <c r="G270" s="724">
        <v>3051</v>
      </c>
    </row>
    <row r="271" spans="1:7" ht="12.75" customHeight="1" x14ac:dyDescent="0.2">
      <c r="A271" s="528"/>
      <c r="B271" s="723" t="s">
        <v>667</v>
      </c>
      <c r="C271" s="692"/>
      <c r="D271" s="693"/>
      <c r="E271" s="693"/>
      <c r="F271" s="693"/>
      <c r="G271" s="724">
        <v>3052</v>
      </c>
    </row>
    <row r="272" spans="1:7" ht="12.75" customHeight="1" x14ac:dyDescent="0.2">
      <c r="A272" s="528"/>
      <c r="B272" s="723" t="s">
        <v>609</v>
      </c>
      <c r="C272" s="692"/>
      <c r="D272" s="693"/>
      <c r="E272" s="693"/>
      <c r="F272" s="693"/>
      <c r="G272" s="724" t="s">
        <v>636</v>
      </c>
    </row>
    <row r="273" spans="1:8" ht="12.75" customHeight="1" x14ac:dyDescent="0.2">
      <c r="A273" s="528"/>
      <c r="B273" s="723" t="s">
        <v>652</v>
      </c>
      <c r="C273" s="692"/>
      <c r="D273" s="693"/>
      <c r="E273" s="693"/>
      <c r="F273" s="693"/>
      <c r="G273" s="724">
        <v>3056</v>
      </c>
    </row>
    <row r="274" spans="1:8" ht="12.75" customHeight="1" x14ac:dyDescent="0.2">
      <c r="A274" s="528"/>
      <c r="B274" s="723" t="s">
        <v>610</v>
      </c>
      <c r="C274" s="692"/>
      <c r="D274" s="693"/>
      <c r="E274" s="693"/>
      <c r="F274" s="693"/>
      <c r="G274" s="724">
        <v>3057</v>
      </c>
    </row>
    <row r="275" spans="1:8" ht="12.75" customHeight="1" x14ac:dyDescent="0.2">
      <c r="A275" s="528"/>
      <c r="B275" s="723" t="s">
        <v>611</v>
      </c>
      <c r="C275" s="692"/>
      <c r="D275" s="693"/>
      <c r="E275" s="693"/>
      <c r="F275" s="693"/>
      <c r="G275" s="724" t="s">
        <v>638</v>
      </c>
    </row>
    <row r="276" spans="1:8" ht="12.75" customHeight="1" x14ac:dyDescent="0.2">
      <c r="A276" s="528"/>
      <c r="B276" s="723" t="s">
        <v>612</v>
      </c>
      <c r="C276" s="692"/>
      <c r="D276" s="693"/>
      <c r="E276" s="693"/>
      <c r="F276" s="693"/>
      <c r="G276" s="724" t="s">
        <v>639</v>
      </c>
    </row>
    <row r="277" spans="1:8" ht="12.75" customHeight="1" x14ac:dyDescent="0.2">
      <c r="A277" s="528"/>
      <c r="B277" s="723" t="s">
        <v>649</v>
      </c>
      <c r="C277" s="692"/>
      <c r="D277" s="693"/>
      <c r="E277" s="693"/>
      <c r="F277" s="693"/>
      <c r="G277" s="724">
        <v>3061</v>
      </c>
    </row>
    <row r="278" spans="1:8" ht="12.75" customHeight="1" x14ac:dyDescent="0.2">
      <c r="A278" s="528"/>
      <c r="B278" s="723" t="s">
        <v>658</v>
      </c>
      <c r="C278" s="692"/>
      <c r="D278" s="693"/>
      <c r="E278" s="693"/>
      <c r="F278" s="693"/>
      <c r="G278" s="724">
        <v>3063</v>
      </c>
    </row>
    <row r="279" spans="1:8" ht="12.75" customHeight="1" x14ac:dyDescent="0.2">
      <c r="A279" s="528"/>
      <c r="B279" s="723" t="s">
        <v>613</v>
      </c>
      <c r="C279" s="692"/>
      <c r="D279" s="693">
        <v>0</v>
      </c>
      <c r="E279" s="693"/>
      <c r="F279" s="693"/>
      <c r="G279" s="724" t="s">
        <v>640</v>
      </c>
    </row>
    <row r="280" spans="1:8" ht="12.75" customHeight="1" x14ac:dyDescent="0.2">
      <c r="A280" s="528"/>
      <c r="B280" s="723" t="s">
        <v>662</v>
      </c>
      <c r="C280" s="692"/>
      <c r="D280" s="693"/>
      <c r="E280" s="693"/>
      <c r="F280" s="693"/>
      <c r="G280" s="724">
        <v>3065</v>
      </c>
    </row>
    <row r="281" spans="1:8" ht="12.75" customHeight="1" x14ac:dyDescent="0.2">
      <c r="A281" s="528"/>
      <c r="B281" s="723" t="s">
        <v>614</v>
      </c>
      <c r="C281" s="692"/>
      <c r="D281" s="693"/>
      <c r="E281" s="693"/>
      <c r="F281" s="693"/>
      <c r="G281" s="724" t="s">
        <v>641</v>
      </c>
    </row>
    <row r="282" spans="1:8" ht="12.75" customHeight="1" x14ac:dyDescent="0.2">
      <c r="A282" s="528"/>
      <c r="B282" s="723" t="s">
        <v>615</v>
      </c>
      <c r="C282" s="692"/>
      <c r="D282" s="693"/>
      <c r="E282" s="693"/>
      <c r="F282" s="693"/>
      <c r="G282" s="724" t="s">
        <v>642</v>
      </c>
      <c r="H282" s="695"/>
    </row>
    <row r="283" spans="1:8" ht="12.75" customHeight="1" x14ac:dyDescent="0.2">
      <c r="A283" s="528"/>
      <c r="B283" s="723" t="s">
        <v>616</v>
      </c>
      <c r="C283" s="692"/>
      <c r="D283" s="693"/>
      <c r="E283" s="693"/>
      <c r="F283" s="693"/>
      <c r="G283" s="724">
        <v>3068</v>
      </c>
      <c r="H283" s="695"/>
    </row>
    <row r="284" spans="1:8" ht="12.75" customHeight="1" x14ac:dyDescent="0.2">
      <c r="A284" s="528"/>
      <c r="B284" s="723" t="s">
        <v>617</v>
      </c>
      <c r="C284" s="692"/>
      <c r="D284" s="693"/>
      <c r="E284" s="693"/>
      <c r="F284" s="693"/>
      <c r="G284" s="724">
        <v>3069</v>
      </c>
      <c r="H284" s="695"/>
    </row>
    <row r="285" spans="1:8" ht="12.75" customHeight="1" x14ac:dyDescent="0.2">
      <c r="A285" s="528"/>
      <c r="B285" s="723" t="s">
        <v>653</v>
      </c>
      <c r="C285" s="692"/>
      <c r="D285" s="693">
        <v>0</v>
      </c>
      <c r="E285" s="693"/>
      <c r="F285" s="693"/>
      <c r="G285" s="724">
        <v>3073</v>
      </c>
    </row>
    <row r="286" spans="1:8" ht="12.75" customHeight="1" x14ac:dyDescent="0.2">
      <c r="A286" s="528"/>
      <c r="B286" s="726" t="s">
        <v>303</v>
      </c>
      <c r="C286" s="696"/>
      <c r="D286" s="693">
        <v>67712.899999999994</v>
      </c>
      <c r="E286" s="725">
        <f>SUM(D286)</f>
        <v>67712.899999999994</v>
      </c>
      <c r="F286" s="693"/>
      <c r="G286" s="724">
        <v>3001</v>
      </c>
      <c r="H286" s="695"/>
    </row>
    <row r="287" spans="1:8" ht="12.75" customHeight="1" x14ac:dyDescent="0.2">
      <c r="A287" s="528"/>
      <c r="B287" s="727" t="s">
        <v>439</v>
      </c>
      <c r="C287" s="697"/>
      <c r="D287" s="693"/>
      <c r="E287" s="725">
        <f>SUM(D288:D293)</f>
        <v>290688.92000000004</v>
      </c>
      <c r="F287" s="693"/>
    </row>
    <row r="288" spans="1:8" ht="12.75" customHeight="1" x14ac:dyDescent="0.2">
      <c r="A288" s="528"/>
      <c r="B288" s="694"/>
      <c r="C288" s="696" t="s">
        <v>304</v>
      </c>
      <c r="D288" s="693">
        <v>27177.39</v>
      </c>
      <c r="E288" s="693"/>
      <c r="F288" s="693"/>
      <c r="G288" s="683">
        <v>4000</v>
      </c>
    </row>
    <row r="289" spans="1:11" ht="12.75" customHeight="1" x14ac:dyDescent="0.2">
      <c r="A289" s="528"/>
      <c r="B289" s="694"/>
      <c r="C289" s="696" t="s">
        <v>305</v>
      </c>
      <c r="D289" s="693">
        <v>0</v>
      </c>
      <c r="E289" s="693"/>
      <c r="F289" s="693"/>
      <c r="G289" s="683">
        <v>4001</v>
      </c>
    </row>
    <row r="290" spans="1:11" ht="12.75" customHeight="1" x14ac:dyDescent="0.2">
      <c r="A290" s="528"/>
      <c r="B290" s="694"/>
      <c r="C290" s="696" t="s">
        <v>306</v>
      </c>
      <c r="D290" s="693">
        <v>225705.62</v>
      </c>
      <c r="E290" s="693"/>
      <c r="F290" s="693"/>
    </row>
    <row r="291" spans="1:11" ht="12.75" customHeight="1" x14ac:dyDescent="0.2">
      <c r="A291" s="528"/>
      <c r="B291" s="694"/>
      <c r="C291" s="696" t="s">
        <v>307</v>
      </c>
      <c r="D291" s="693">
        <v>861.37</v>
      </c>
      <c r="E291" s="693"/>
      <c r="F291" s="693"/>
    </row>
    <row r="292" spans="1:11" ht="12.75" customHeight="1" x14ac:dyDescent="0.2">
      <c r="A292" s="528"/>
      <c r="B292" s="694"/>
      <c r="C292" s="697" t="s">
        <v>308</v>
      </c>
      <c r="D292" s="693">
        <v>17544.7</v>
      </c>
      <c r="E292" s="693"/>
      <c r="F292" s="693"/>
    </row>
    <row r="293" spans="1:11" ht="12.75" customHeight="1" x14ac:dyDescent="0.2">
      <c r="A293" s="528"/>
      <c r="B293" s="694"/>
      <c r="C293" s="697" t="s">
        <v>121</v>
      </c>
      <c r="D293" s="693">
        <v>19399.84</v>
      </c>
      <c r="E293" s="693"/>
      <c r="F293" s="693"/>
    </row>
    <row r="294" spans="1:11" ht="12.75" customHeight="1" x14ac:dyDescent="0.2">
      <c r="A294" s="528"/>
      <c r="B294" s="699" t="s">
        <v>309</v>
      </c>
      <c r="C294" s="697"/>
      <c r="D294" s="711">
        <v>0</v>
      </c>
      <c r="E294" s="701"/>
      <c r="F294" s="701"/>
    </row>
    <row r="295" spans="1:11" ht="12.75" customHeight="1" x14ac:dyDescent="0.2">
      <c r="A295" s="710"/>
      <c r="B295" s="729" t="s">
        <v>310</v>
      </c>
      <c r="D295" s="693">
        <v>0</v>
      </c>
      <c r="E295" s="728">
        <f>D295</f>
        <v>0</v>
      </c>
      <c r="F295" s="701"/>
      <c r="H295" s="695"/>
    </row>
    <row r="296" spans="1:11" ht="12.75" customHeight="1" thickBot="1" x14ac:dyDescent="0.25">
      <c r="A296" s="702"/>
      <c r="B296" s="703"/>
      <c r="C296" s="704"/>
      <c r="D296" s="705"/>
      <c r="E296" s="706"/>
      <c r="F296" s="731">
        <f>SUM(E243:E296)</f>
        <v>593699.1100000001</v>
      </c>
      <c r="G296" s="683">
        <v>70200</v>
      </c>
      <c r="H296" s="713">
        <f>'Sched-B1'!B9+'Sched-B2'!E105+'Sched-D1'!F296-4464999.88-137921.56</f>
        <v>5.2386894822120667E-10</v>
      </c>
      <c r="K296" s="695"/>
    </row>
    <row r="297" spans="1:11" ht="12.75" customHeight="1" x14ac:dyDescent="0.2">
      <c r="A297" s="688" t="s">
        <v>668</v>
      </c>
      <c r="B297" s="907" t="s">
        <v>860</v>
      </c>
      <c r="C297" s="689"/>
      <c r="D297" s="690"/>
      <c r="E297" s="691">
        <f>20089.99+990.43+4.06</f>
        <v>21084.480000000003</v>
      </c>
      <c r="F297" s="691"/>
      <c r="G297" s="908" t="s">
        <v>866</v>
      </c>
    </row>
    <row r="298" spans="1:11" ht="12.75" customHeight="1" x14ac:dyDescent="0.2">
      <c r="A298" s="528"/>
      <c r="B298" s="721" t="s">
        <v>590</v>
      </c>
      <c r="C298" s="692"/>
      <c r="D298" s="693">
        <v>438723.24</v>
      </c>
      <c r="E298" s="725">
        <f>SUM(D298:D334)</f>
        <v>713319.2</v>
      </c>
      <c r="F298" s="693"/>
      <c r="H298" s="695"/>
    </row>
    <row r="299" spans="1:11" ht="12.75" customHeight="1" x14ac:dyDescent="0.2">
      <c r="A299" s="528"/>
      <c r="B299" s="733" t="s">
        <v>800</v>
      </c>
      <c r="C299" s="860"/>
      <c r="D299" s="734">
        <v>-70065</v>
      </c>
      <c r="E299" s="725"/>
      <c r="F299" s="693"/>
      <c r="H299" s="695"/>
    </row>
    <row r="300" spans="1:11" ht="12.75" customHeight="1" x14ac:dyDescent="0.2">
      <c r="A300" s="528"/>
      <c r="B300" s="733" t="s">
        <v>669</v>
      </c>
      <c r="C300" s="590"/>
      <c r="D300" s="734">
        <v>-302805.5</v>
      </c>
      <c r="E300" s="693"/>
      <c r="F300" s="693"/>
      <c r="H300" s="683" t="s">
        <v>865</v>
      </c>
    </row>
    <row r="301" spans="1:11" ht="12.75" customHeight="1" x14ac:dyDescent="0.2">
      <c r="A301" s="528"/>
      <c r="B301" s="723" t="s">
        <v>591</v>
      </c>
      <c r="C301" s="692"/>
      <c r="D301" s="693"/>
      <c r="E301" s="693"/>
      <c r="F301" s="693"/>
      <c r="G301" s="724" t="s">
        <v>618</v>
      </c>
      <c r="H301" s="695">
        <f>302805.5+70065</f>
        <v>372870.5</v>
      </c>
      <c r="I301" s="683" t="s">
        <v>864</v>
      </c>
    </row>
    <row r="302" spans="1:11" ht="12.75" customHeight="1" x14ac:dyDescent="0.2">
      <c r="A302" s="528"/>
      <c r="B302" s="723" t="s">
        <v>592</v>
      </c>
      <c r="C302" s="692"/>
      <c r="D302" s="693"/>
      <c r="E302" s="693"/>
      <c r="F302" s="693"/>
      <c r="G302" s="724" t="s">
        <v>619</v>
      </c>
    </row>
    <row r="303" spans="1:11" ht="12.75" customHeight="1" x14ac:dyDescent="0.2">
      <c r="A303" s="528"/>
      <c r="B303" s="723" t="s">
        <v>593</v>
      </c>
      <c r="C303" s="692"/>
      <c r="D303" s="693"/>
      <c r="E303" s="693"/>
      <c r="F303" s="693"/>
      <c r="G303" s="724" t="s">
        <v>620</v>
      </c>
    </row>
    <row r="304" spans="1:11" ht="12.75" customHeight="1" x14ac:dyDescent="0.2">
      <c r="A304" s="528"/>
      <c r="B304" s="723" t="s">
        <v>661</v>
      </c>
      <c r="C304" s="692"/>
      <c r="D304" s="693"/>
      <c r="E304" s="693"/>
      <c r="F304" s="693"/>
      <c r="G304" s="724">
        <v>3014</v>
      </c>
    </row>
    <row r="305" spans="1:11" ht="12.75" customHeight="1" x14ac:dyDescent="0.2">
      <c r="A305" s="528"/>
      <c r="B305" s="723" t="s">
        <v>594</v>
      </c>
      <c r="C305" s="692"/>
      <c r="D305" s="693"/>
      <c r="E305" s="693"/>
      <c r="F305" s="693"/>
      <c r="G305" s="724" t="s">
        <v>621</v>
      </c>
    </row>
    <row r="306" spans="1:11" ht="12.75" customHeight="1" x14ac:dyDescent="0.2">
      <c r="A306" s="528"/>
      <c r="B306" s="723" t="s">
        <v>595</v>
      </c>
      <c r="C306" s="692"/>
      <c r="D306" s="693"/>
      <c r="E306" s="693"/>
      <c r="F306" s="693"/>
      <c r="G306" s="724" t="s">
        <v>622</v>
      </c>
      <c r="K306" s="695"/>
    </row>
    <row r="307" spans="1:11" ht="12.75" customHeight="1" x14ac:dyDescent="0.2">
      <c r="A307" s="528"/>
      <c r="B307" s="723" t="s">
        <v>670</v>
      </c>
      <c r="C307" s="692"/>
      <c r="D307" s="693"/>
      <c r="E307" s="693"/>
      <c r="F307" s="693"/>
      <c r="G307" s="724">
        <v>3028</v>
      </c>
    </row>
    <row r="308" spans="1:11" ht="12.75" customHeight="1" x14ac:dyDescent="0.2">
      <c r="A308" s="528"/>
      <c r="B308" s="733" t="s">
        <v>50</v>
      </c>
      <c r="C308" s="692"/>
      <c r="D308" s="693">
        <v>647466.46</v>
      </c>
      <c r="E308" s="693"/>
      <c r="F308" s="693"/>
      <c r="G308" s="724"/>
    </row>
    <row r="309" spans="1:11" ht="12.75" customHeight="1" x14ac:dyDescent="0.2">
      <c r="A309" s="528"/>
      <c r="B309" s="723" t="s">
        <v>596</v>
      </c>
      <c r="C309" s="692"/>
      <c r="D309" s="693"/>
      <c r="E309" s="693"/>
      <c r="F309" s="693"/>
      <c r="G309" s="724" t="s">
        <v>623</v>
      </c>
    </row>
    <row r="310" spans="1:11" ht="12.75" customHeight="1" x14ac:dyDescent="0.2">
      <c r="A310" s="528"/>
      <c r="B310" s="723" t="s">
        <v>597</v>
      </c>
      <c r="C310" s="692"/>
      <c r="D310" s="693"/>
      <c r="E310" s="693"/>
      <c r="F310" s="693"/>
      <c r="G310" s="724" t="s">
        <v>624</v>
      </c>
    </row>
    <row r="311" spans="1:11" ht="12.75" customHeight="1" x14ac:dyDescent="0.2">
      <c r="A311" s="528"/>
      <c r="B311" s="723" t="s">
        <v>647</v>
      </c>
      <c r="C311" s="692"/>
      <c r="D311" s="693"/>
      <c r="E311" s="693"/>
      <c r="F311" s="693"/>
      <c r="G311" s="724">
        <v>3034</v>
      </c>
    </row>
    <row r="312" spans="1:11" ht="12.75" customHeight="1" x14ac:dyDescent="0.2">
      <c r="A312" s="528"/>
      <c r="B312" s="723" t="s">
        <v>598</v>
      </c>
      <c r="C312" s="692"/>
      <c r="D312" s="693"/>
      <c r="E312" s="693"/>
      <c r="F312" s="693"/>
      <c r="G312" s="724" t="s">
        <v>625</v>
      </c>
    </row>
    <row r="313" spans="1:11" ht="12.75" customHeight="1" x14ac:dyDescent="0.2">
      <c r="A313" s="528"/>
      <c r="B313" s="723" t="s">
        <v>599</v>
      </c>
      <c r="C313" s="692"/>
      <c r="D313" s="693"/>
      <c r="E313" s="693"/>
      <c r="F313" s="693"/>
      <c r="G313" s="724" t="s">
        <v>626</v>
      </c>
      <c r="K313" s="712"/>
    </row>
    <row r="314" spans="1:11" ht="12.75" customHeight="1" x14ac:dyDescent="0.2">
      <c r="A314" s="528"/>
      <c r="B314" s="723" t="s">
        <v>600</v>
      </c>
      <c r="C314" s="692"/>
      <c r="D314" s="693"/>
      <c r="E314" s="693"/>
      <c r="F314" s="693"/>
      <c r="G314" s="724" t="s">
        <v>627</v>
      </c>
    </row>
    <row r="315" spans="1:11" ht="12.75" customHeight="1" x14ac:dyDescent="0.2">
      <c r="A315" s="528"/>
      <c r="B315" s="723" t="s">
        <v>601</v>
      </c>
      <c r="C315" s="692"/>
      <c r="D315" s="693"/>
      <c r="E315" s="693"/>
      <c r="F315" s="693"/>
      <c r="G315" s="724" t="s">
        <v>628</v>
      </c>
    </row>
    <row r="316" spans="1:11" ht="12.75" customHeight="1" x14ac:dyDescent="0.2">
      <c r="A316" s="528"/>
      <c r="B316" s="723" t="s">
        <v>602</v>
      </c>
      <c r="C316" s="692"/>
      <c r="D316" s="693"/>
      <c r="E316" s="693"/>
      <c r="F316" s="693"/>
      <c r="G316" s="724" t="s">
        <v>629</v>
      </c>
    </row>
    <row r="317" spans="1:11" ht="12.75" customHeight="1" x14ac:dyDescent="0.2">
      <c r="A317" s="528"/>
      <c r="B317" s="723" t="s">
        <v>603</v>
      </c>
      <c r="C317" s="692"/>
      <c r="D317" s="693"/>
      <c r="E317" s="693"/>
      <c r="F317" s="693"/>
      <c r="G317" s="724" t="s">
        <v>630</v>
      </c>
    </row>
    <row r="318" spans="1:11" ht="12.75" customHeight="1" x14ac:dyDescent="0.2">
      <c r="A318" s="528"/>
      <c r="B318" s="723" t="s">
        <v>604</v>
      </c>
      <c r="C318" s="692"/>
      <c r="D318" s="693"/>
      <c r="E318" s="693"/>
      <c r="F318" s="693"/>
      <c r="G318" s="724" t="s">
        <v>631</v>
      </c>
    </row>
    <row r="319" spans="1:11" ht="12.75" customHeight="1" x14ac:dyDescent="0.2">
      <c r="A319" s="528"/>
      <c r="B319" s="723" t="s">
        <v>605</v>
      </c>
      <c r="C319" s="692"/>
      <c r="D319" s="693"/>
      <c r="E319" s="693"/>
      <c r="F319" s="693"/>
      <c r="G319" s="724" t="s">
        <v>632</v>
      </c>
    </row>
    <row r="320" spans="1:11" ht="12.75" customHeight="1" x14ac:dyDescent="0.2">
      <c r="A320" s="528"/>
      <c r="B320" s="723" t="s">
        <v>606</v>
      </c>
      <c r="C320" s="692"/>
      <c r="D320" s="693"/>
      <c r="E320" s="693"/>
      <c r="F320" s="693"/>
      <c r="G320" s="724" t="s">
        <v>633</v>
      </c>
    </row>
    <row r="321" spans="1:8" ht="12.75" customHeight="1" x14ac:dyDescent="0.2">
      <c r="A321" s="528"/>
      <c r="B321" s="723" t="s">
        <v>648</v>
      </c>
      <c r="C321" s="692"/>
      <c r="D321" s="693"/>
      <c r="E321" s="693"/>
      <c r="F321" s="693"/>
      <c r="G321" s="724">
        <v>3048</v>
      </c>
    </row>
    <row r="322" spans="1:8" ht="12.75" customHeight="1" x14ac:dyDescent="0.2">
      <c r="A322" s="528"/>
      <c r="B322" s="723" t="s">
        <v>607</v>
      </c>
      <c r="C322" s="692"/>
      <c r="D322" s="693"/>
      <c r="E322" s="693"/>
      <c r="F322" s="693"/>
      <c r="G322" s="724" t="s">
        <v>634</v>
      </c>
    </row>
    <row r="323" spans="1:8" ht="12.75" customHeight="1" x14ac:dyDescent="0.2">
      <c r="A323" s="528"/>
      <c r="B323" s="723" t="s">
        <v>608</v>
      </c>
      <c r="C323" s="692"/>
      <c r="D323" s="693"/>
      <c r="E323" s="693"/>
      <c r="F323" s="693"/>
      <c r="G323" s="724" t="s">
        <v>635</v>
      </c>
    </row>
    <row r="324" spans="1:8" ht="12.75" customHeight="1" x14ac:dyDescent="0.2">
      <c r="A324" s="528"/>
      <c r="B324" s="723" t="s">
        <v>667</v>
      </c>
      <c r="C324" s="692"/>
      <c r="D324" s="693"/>
      <c r="E324" s="693"/>
      <c r="F324" s="693"/>
      <c r="G324" s="724">
        <v>3052</v>
      </c>
    </row>
    <row r="325" spans="1:8" ht="12.75" customHeight="1" x14ac:dyDescent="0.2">
      <c r="A325" s="528"/>
      <c r="B325" s="723" t="s">
        <v>609</v>
      </c>
      <c r="C325" s="692"/>
      <c r="D325" s="693"/>
      <c r="E325" s="693"/>
      <c r="F325" s="693"/>
      <c r="G325" s="724" t="s">
        <v>636</v>
      </c>
    </row>
    <row r="326" spans="1:8" ht="12.75" customHeight="1" x14ac:dyDescent="0.2">
      <c r="A326" s="528"/>
      <c r="B326" s="723" t="s">
        <v>610</v>
      </c>
      <c r="C326" s="692"/>
      <c r="D326" s="693"/>
      <c r="E326" s="693"/>
      <c r="F326" s="693"/>
      <c r="G326" s="724" t="s">
        <v>637</v>
      </c>
    </row>
    <row r="327" spans="1:8" ht="12.75" customHeight="1" x14ac:dyDescent="0.2">
      <c r="A327" s="528"/>
      <c r="B327" s="723" t="s">
        <v>611</v>
      </c>
      <c r="C327" s="692"/>
      <c r="D327" s="693"/>
      <c r="E327" s="693"/>
      <c r="F327" s="693"/>
      <c r="G327" s="724" t="s">
        <v>638</v>
      </c>
    </row>
    <row r="328" spans="1:8" ht="12.75" customHeight="1" x14ac:dyDescent="0.2">
      <c r="A328" s="528"/>
      <c r="B328" s="723" t="s">
        <v>612</v>
      </c>
      <c r="C328" s="692"/>
      <c r="D328" s="693"/>
      <c r="E328" s="693"/>
      <c r="F328" s="693"/>
      <c r="G328" s="724" t="s">
        <v>639</v>
      </c>
    </row>
    <row r="329" spans="1:8" ht="12.75" customHeight="1" x14ac:dyDescent="0.2">
      <c r="A329" s="528"/>
      <c r="B329" s="723" t="s">
        <v>649</v>
      </c>
      <c r="C329" s="692"/>
      <c r="D329" s="693"/>
      <c r="E329" s="693"/>
      <c r="F329" s="693"/>
      <c r="G329" s="724">
        <v>3061</v>
      </c>
    </row>
    <row r="330" spans="1:8" ht="12.75" customHeight="1" x14ac:dyDescent="0.2">
      <c r="A330" s="528"/>
      <c r="B330" s="723" t="s">
        <v>613</v>
      </c>
      <c r="C330" s="692"/>
      <c r="D330" s="693"/>
      <c r="E330" s="693"/>
      <c r="F330" s="693"/>
      <c r="G330" s="724" t="s">
        <v>640</v>
      </c>
    </row>
    <row r="331" spans="1:8" ht="12.75" customHeight="1" x14ac:dyDescent="0.2">
      <c r="A331" s="528"/>
      <c r="B331" s="723" t="s">
        <v>614</v>
      </c>
      <c r="C331" s="692"/>
      <c r="D331" s="693"/>
      <c r="E331" s="693"/>
      <c r="F331" s="693"/>
      <c r="G331" s="724" t="s">
        <v>641</v>
      </c>
    </row>
    <row r="332" spans="1:8" ht="12.75" customHeight="1" x14ac:dyDescent="0.2">
      <c r="A332" s="528"/>
      <c r="B332" s="723" t="s">
        <v>615</v>
      </c>
      <c r="C332" s="692"/>
      <c r="D332" s="693"/>
      <c r="E332" s="693"/>
      <c r="F332" s="693"/>
      <c r="G332" s="724" t="s">
        <v>642</v>
      </c>
      <c r="H332" s="695"/>
    </row>
    <row r="333" spans="1:8" ht="12.75" customHeight="1" x14ac:dyDescent="0.2">
      <c r="A333" s="528"/>
      <c r="B333" s="723" t="s">
        <v>616</v>
      </c>
      <c r="C333" s="692"/>
      <c r="D333" s="693"/>
      <c r="E333" s="693"/>
      <c r="F333" s="693"/>
      <c r="G333" s="724" t="s">
        <v>643</v>
      </c>
    </row>
    <row r="334" spans="1:8" ht="12.75" customHeight="1" x14ac:dyDescent="0.2">
      <c r="A334" s="528"/>
      <c r="B334" s="723" t="s">
        <v>617</v>
      </c>
      <c r="C334" s="692"/>
      <c r="D334" s="693"/>
      <c r="E334" s="693"/>
      <c r="F334" s="693"/>
      <c r="G334" s="724" t="s">
        <v>644</v>
      </c>
      <c r="H334" s="695"/>
    </row>
    <row r="335" spans="1:8" ht="12.75" customHeight="1" x14ac:dyDescent="0.2">
      <c r="A335" s="528"/>
      <c r="B335" s="726" t="s">
        <v>303</v>
      </c>
      <c r="C335" s="696"/>
      <c r="D335" s="693">
        <v>189989.96</v>
      </c>
      <c r="E335" s="725">
        <f>SUM(D335)</f>
        <v>189989.96</v>
      </c>
      <c r="F335" s="693"/>
      <c r="G335" s="724">
        <v>3001</v>
      </c>
      <c r="H335" s="695"/>
    </row>
    <row r="336" spans="1:8" ht="12.75" customHeight="1" x14ac:dyDescent="0.2">
      <c r="A336" s="528"/>
      <c r="B336" s="727" t="s">
        <v>439</v>
      </c>
      <c r="C336" s="697"/>
      <c r="D336" s="693"/>
      <c r="E336" s="725">
        <f>SUM(D337:D342)</f>
        <v>948314.4</v>
      </c>
      <c r="F336" s="693"/>
      <c r="H336" s="695"/>
    </row>
    <row r="337" spans="1:8" ht="12.75" customHeight="1" x14ac:dyDescent="0.2">
      <c r="A337" s="528"/>
      <c r="B337" s="694"/>
      <c r="C337" s="696" t="s">
        <v>304</v>
      </c>
      <c r="D337" s="693">
        <v>83247.28</v>
      </c>
      <c r="E337" s="693"/>
      <c r="F337" s="693"/>
      <c r="H337" s="695"/>
    </row>
    <row r="338" spans="1:8" ht="12.75" customHeight="1" x14ac:dyDescent="0.2">
      <c r="A338" s="528"/>
      <c r="B338" s="694"/>
      <c r="C338" s="696" t="s">
        <v>305</v>
      </c>
      <c r="D338" s="693">
        <v>0</v>
      </c>
      <c r="E338" s="693"/>
      <c r="F338" s="693"/>
    </row>
    <row r="339" spans="1:8" ht="12.75" customHeight="1" x14ac:dyDescent="0.2">
      <c r="A339" s="528"/>
      <c r="B339" s="694"/>
      <c r="C339" s="696" t="s">
        <v>306</v>
      </c>
      <c r="D339" s="693">
        <v>692386.99</v>
      </c>
      <c r="E339" s="693"/>
      <c r="F339" s="693"/>
    </row>
    <row r="340" spans="1:8" ht="12.75" customHeight="1" x14ac:dyDescent="0.2">
      <c r="A340" s="528"/>
      <c r="B340" s="694"/>
      <c r="C340" s="696" t="s">
        <v>307</v>
      </c>
      <c r="D340" s="693">
        <v>3707.83</v>
      </c>
      <c r="E340" s="693"/>
      <c r="F340" s="693"/>
    </row>
    <row r="341" spans="1:8" ht="12.75" customHeight="1" x14ac:dyDescent="0.2">
      <c r="A341" s="708"/>
      <c r="B341" s="694"/>
      <c r="C341" s="697" t="s">
        <v>308</v>
      </c>
      <c r="D341" s="693">
        <v>48754.43</v>
      </c>
      <c r="E341" s="693"/>
      <c r="F341" s="693"/>
    </row>
    <row r="342" spans="1:8" ht="12.75" customHeight="1" x14ac:dyDescent="0.2">
      <c r="A342" s="528"/>
      <c r="B342" s="694"/>
      <c r="C342" s="697" t="s">
        <v>121</v>
      </c>
      <c r="D342" s="693">
        <v>120217.87</v>
      </c>
      <c r="E342" s="693"/>
      <c r="F342" s="693"/>
    </row>
    <row r="343" spans="1:8" ht="12.75" customHeight="1" x14ac:dyDescent="0.2">
      <c r="A343" s="528"/>
      <c r="B343" s="699" t="s">
        <v>309</v>
      </c>
      <c r="C343" s="697"/>
      <c r="D343" s="711"/>
      <c r="E343" s="701"/>
      <c r="F343" s="693"/>
      <c r="G343" s="683">
        <v>4005</v>
      </c>
    </row>
    <row r="344" spans="1:8" ht="12.75" customHeight="1" x14ac:dyDescent="0.2">
      <c r="A344" s="528"/>
      <c r="B344" s="729" t="s">
        <v>310</v>
      </c>
      <c r="D344" s="693">
        <v>0</v>
      </c>
      <c r="E344" s="728">
        <f>D344</f>
        <v>0</v>
      </c>
      <c r="F344" s="693"/>
      <c r="H344" s="695"/>
    </row>
    <row r="345" spans="1:8" ht="12.75" customHeight="1" thickBot="1" x14ac:dyDescent="0.25">
      <c r="A345" s="702"/>
      <c r="B345" s="703"/>
      <c r="C345" s="704"/>
      <c r="D345" s="709"/>
      <c r="E345" s="706"/>
      <c r="F345" s="731">
        <f>SUM(E297:E345)</f>
        <v>1872708.04</v>
      </c>
      <c r="H345" s="707">
        <f>'Sched-B1'!B10+'Sched-B2'!E122+'Sched-D1'!F345-10351345.84-647466.46+372870.5</f>
        <v>9.3132257461547852E-10</v>
      </c>
    </row>
    <row r="346" spans="1:8" ht="12.75" customHeight="1" x14ac:dyDescent="0.2">
      <c r="A346" s="688" t="s">
        <v>738</v>
      </c>
      <c r="B346" s="907" t="s">
        <v>860</v>
      </c>
      <c r="C346" s="689"/>
      <c r="D346" s="690"/>
      <c r="E346" s="691">
        <v>2019.36</v>
      </c>
      <c r="F346" s="691"/>
      <c r="G346" s="683">
        <v>2000</v>
      </c>
    </row>
    <row r="347" spans="1:8" ht="12.75" customHeight="1" x14ac:dyDescent="0.2">
      <c r="A347" s="528"/>
      <c r="B347" s="721" t="s">
        <v>590</v>
      </c>
      <c r="C347" s="692"/>
      <c r="D347" s="693">
        <v>97534.49</v>
      </c>
      <c r="E347" s="725">
        <f>SUM(D347:D387)</f>
        <v>248493.5</v>
      </c>
      <c r="F347" s="693"/>
    </row>
    <row r="348" spans="1:8" ht="12.75" customHeight="1" x14ac:dyDescent="0.2">
      <c r="A348" s="528"/>
      <c r="B348" s="723" t="s">
        <v>591</v>
      </c>
      <c r="C348" s="692"/>
      <c r="D348" s="693"/>
      <c r="E348" s="693"/>
      <c r="F348" s="693"/>
      <c r="G348" s="724" t="s">
        <v>618</v>
      </c>
    </row>
    <row r="349" spans="1:8" ht="12.75" customHeight="1" x14ac:dyDescent="0.2">
      <c r="A349" s="528"/>
      <c r="B349" s="723" t="s">
        <v>592</v>
      </c>
      <c r="C349" s="692"/>
      <c r="D349" s="693"/>
      <c r="E349" s="693"/>
      <c r="F349" s="693"/>
      <c r="G349" s="724" t="s">
        <v>619</v>
      </c>
    </row>
    <row r="350" spans="1:8" ht="12.75" customHeight="1" x14ac:dyDescent="0.2">
      <c r="A350" s="528"/>
      <c r="B350" s="723" t="s">
        <v>650</v>
      </c>
      <c r="C350" s="692"/>
      <c r="D350" s="693"/>
      <c r="E350" s="693"/>
      <c r="F350" s="693"/>
      <c r="G350" s="724">
        <v>3003</v>
      </c>
    </row>
    <row r="351" spans="1:8" ht="12.75" customHeight="1" x14ac:dyDescent="0.2">
      <c r="A351" s="528"/>
      <c r="B351" s="723" t="s">
        <v>593</v>
      </c>
      <c r="C351" s="692"/>
      <c r="D351" s="693"/>
      <c r="E351" s="693"/>
      <c r="F351" s="693"/>
      <c r="G351" s="724" t="s">
        <v>620</v>
      </c>
    </row>
    <row r="352" spans="1:8" ht="12.75" customHeight="1" x14ac:dyDescent="0.2">
      <c r="A352" s="528"/>
      <c r="B352" s="723" t="s">
        <v>661</v>
      </c>
      <c r="C352" s="692"/>
      <c r="D352" s="693"/>
      <c r="E352" s="693"/>
      <c r="F352" s="693"/>
      <c r="G352" s="724">
        <v>3014</v>
      </c>
    </row>
    <row r="353" spans="1:7" ht="12.75" customHeight="1" x14ac:dyDescent="0.2">
      <c r="A353" s="528"/>
      <c r="B353" s="723" t="s">
        <v>594</v>
      </c>
      <c r="C353" s="692"/>
      <c r="D353" s="693"/>
      <c r="E353" s="693"/>
      <c r="F353" s="693"/>
      <c r="G353" s="724" t="s">
        <v>621</v>
      </c>
    </row>
    <row r="354" spans="1:7" ht="12.75" customHeight="1" x14ac:dyDescent="0.2">
      <c r="A354" s="528"/>
      <c r="B354" s="723" t="s">
        <v>595</v>
      </c>
      <c r="C354" s="692"/>
      <c r="D354" s="693"/>
      <c r="E354" s="693"/>
      <c r="F354" s="693"/>
      <c r="G354" s="724" t="s">
        <v>622</v>
      </c>
    </row>
    <row r="355" spans="1:7" ht="12.75" customHeight="1" x14ac:dyDescent="0.2">
      <c r="A355" s="528"/>
      <c r="B355" s="733" t="s">
        <v>50</v>
      </c>
      <c r="C355" s="692"/>
      <c r="D355" s="693">
        <v>150959.01</v>
      </c>
      <c r="E355" s="693"/>
      <c r="F355" s="693"/>
      <c r="G355" s="724"/>
    </row>
    <row r="356" spans="1:7" ht="12.75" customHeight="1" x14ac:dyDescent="0.2">
      <c r="A356" s="528"/>
      <c r="B356" s="723" t="s">
        <v>655</v>
      </c>
      <c r="C356" s="692"/>
      <c r="D356" s="693"/>
      <c r="E356" s="693"/>
      <c r="F356" s="693"/>
      <c r="G356" s="724">
        <v>3029</v>
      </c>
    </row>
    <row r="357" spans="1:7" ht="12.75" customHeight="1" x14ac:dyDescent="0.2">
      <c r="A357" s="528"/>
      <c r="B357" s="723" t="s">
        <v>596</v>
      </c>
      <c r="C357" s="692"/>
      <c r="D357" s="693"/>
      <c r="E357" s="693"/>
      <c r="F357" s="693"/>
      <c r="G357" s="724" t="s">
        <v>623</v>
      </c>
    </row>
    <row r="358" spans="1:7" ht="12.75" customHeight="1" x14ac:dyDescent="0.2">
      <c r="A358" s="528"/>
      <c r="B358" s="723" t="s">
        <v>597</v>
      </c>
      <c r="C358" s="692"/>
      <c r="D358" s="693"/>
      <c r="E358" s="693"/>
      <c r="F358" s="693"/>
      <c r="G358" s="724" t="s">
        <v>624</v>
      </c>
    </row>
    <row r="359" spans="1:7" ht="12.75" customHeight="1" x14ac:dyDescent="0.2">
      <c r="A359" s="528"/>
      <c r="B359" s="723" t="s">
        <v>647</v>
      </c>
      <c r="C359" s="692"/>
      <c r="D359" s="693"/>
      <c r="E359" s="693"/>
      <c r="F359" s="693"/>
      <c r="G359" s="724">
        <v>3034</v>
      </c>
    </row>
    <row r="360" spans="1:7" ht="12.75" customHeight="1" x14ac:dyDescent="0.2">
      <c r="A360" s="528"/>
      <c r="B360" s="723" t="s">
        <v>598</v>
      </c>
      <c r="C360" s="692"/>
      <c r="D360" s="693"/>
      <c r="E360" s="693"/>
      <c r="F360" s="693"/>
      <c r="G360" s="724" t="s">
        <v>625</v>
      </c>
    </row>
    <row r="361" spans="1:7" ht="12.75" customHeight="1" x14ac:dyDescent="0.2">
      <c r="A361" s="528"/>
      <c r="B361" s="723" t="s">
        <v>599</v>
      </c>
      <c r="C361" s="692"/>
      <c r="D361" s="693"/>
      <c r="E361" s="693"/>
      <c r="F361" s="693"/>
      <c r="G361" s="724" t="s">
        <v>626</v>
      </c>
    </row>
    <row r="362" spans="1:7" ht="12.75" customHeight="1" x14ac:dyDescent="0.2">
      <c r="A362" s="528"/>
      <c r="B362" s="723" t="s">
        <v>600</v>
      </c>
      <c r="C362" s="692"/>
      <c r="D362" s="693"/>
      <c r="E362" s="693"/>
      <c r="F362" s="693"/>
      <c r="G362" s="724" t="s">
        <v>627</v>
      </c>
    </row>
    <row r="363" spans="1:7" ht="12.75" customHeight="1" x14ac:dyDescent="0.2">
      <c r="A363" s="528"/>
      <c r="B363" s="723" t="s">
        <v>601</v>
      </c>
      <c r="C363" s="692"/>
      <c r="D363" s="693"/>
      <c r="E363" s="693"/>
      <c r="F363" s="693"/>
      <c r="G363" s="724" t="s">
        <v>628</v>
      </c>
    </row>
    <row r="364" spans="1:7" ht="12.75" customHeight="1" x14ac:dyDescent="0.2">
      <c r="A364" s="528"/>
      <c r="B364" s="723" t="s">
        <v>602</v>
      </c>
      <c r="C364" s="692"/>
      <c r="D364" s="693"/>
      <c r="E364" s="693"/>
      <c r="F364" s="693"/>
      <c r="G364" s="724" t="s">
        <v>629</v>
      </c>
    </row>
    <row r="365" spans="1:7" ht="12.75" customHeight="1" x14ac:dyDescent="0.2">
      <c r="A365" s="528"/>
      <c r="B365" s="723" t="s">
        <v>603</v>
      </c>
      <c r="C365" s="692"/>
      <c r="D365" s="693"/>
      <c r="E365" s="693"/>
      <c r="F365" s="693"/>
      <c r="G365" s="724" t="s">
        <v>630</v>
      </c>
    </row>
    <row r="366" spans="1:7" ht="12.75" customHeight="1" x14ac:dyDescent="0.2">
      <c r="A366" s="528"/>
      <c r="B366" s="723" t="s">
        <v>657</v>
      </c>
      <c r="C366" s="692"/>
      <c r="D366" s="693"/>
      <c r="E366" s="693"/>
      <c r="F366" s="693"/>
      <c r="G366" s="724">
        <v>3042</v>
      </c>
    </row>
    <row r="367" spans="1:7" ht="12.75" customHeight="1" x14ac:dyDescent="0.2">
      <c r="A367" s="528"/>
      <c r="B367" s="723" t="s">
        <v>604</v>
      </c>
      <c r="C367" s="692"/>
      <c r="D367" s="693"/>
      <c r="E367" s="693"/>
      <c r="F367" s="693"/>
      <c r="G367" s="724" t="s">
        <v>631</v>
      </c>
    </row>
    <row r="368" spans="1:7" ht="12.75" customHeight="1" x14ac:dyDescent="0.2">
      <c r="A368" s="528"/>
      <c r="B368" s="723" t="s">
        <v>605</v>
      </c>
      <c r="C368" s="692"/>
      <c r="D368" s="693"/>
      <c r="E368" s="693"/>
      <c r="F368" s="693"/>
      <c r="G368" s="724" t="s">
        <v>632</v>
      </c>
    </row>
    <row r="369" spans="1:8" ht="12.75" customHeight="1" x14ac:dyDescent="0.2">
      <c r="A369" s="528"/>
      <c r="B369" s="723" t="s">
        <v>606</v>
      </c>
      <c r="C369" s="692"/>
      <c r="D369" s="693"/>
      <c r="E369" s="693"/>
      <c r="F369" s="693"/>
      <c r="G369" s="724" t="s">
        <v>633</v>
      </c>
    </row>
    <row r="370" spans="1:8" ht="12.75" customHeight="1" x14ac:dyDescent="0.2">
      <c r="A370" s="528"/>
      <c r="B370" s="723" t="s">
        <v>648</v>
      </c>
      <c r="C370" s="692"/>
      <c r="D370" s="693"/>
      <c r="E370" s="693"/>
      <c r="F370" s="693"/>
      <c r="G370" s="724">
        <v>3048</v>
      </c>
    </row>
    <row r="371" spans="1:8" ht="12.75" customHeight="1" x14ac:dyDescent="0.2">
      <c r="A371" s="528"/>
      <c r="B371" s="723" t="s">
        <v>607</v>
      </c>
      <c r="C371" s="692"/>
      <c r="D371" s="693"/>
      <c r="E371" s="693"/>
      <c r="F371" s="693"/>
      <c r="G371" s="724" t="s">
        <v>634</v>
      </c>
    </row>
    <row r="372" spans="1:8" ht="12.75" customHeight="1" x14ac:dyDescent="0.2">
      <c r="A372" s="528"/>
      <c r="B372" s="723" t="s">
        <v>608</v>
      </c>
      <c r="C372" s="692"/>
      <c r="D372" s="693"/>
      <c r="E372" s="693"/>
      <c r="F372" s="693"/>
      <c r="G372" s="724" t="s">
        <v>635</v>
      </c>
    </row>
    <row r="373" spans="1:8" ht="12.75" customHeight="1" x14ac:dyDescent="0.2">
      <c r="A373" s="528"/>
      <c r="B373" s="723" t="s">
        <v>651</v>
      </c>
      <c r="C373" s="692"/>
      <c r="D373" s="693"/>
      <c r="E373" s="693"/>
      <c r="F373" s="693"/>
      <c r="G373" s="724">
        <v>3051</v>
      </c>
    </row>
    <row r="374" spans="1:8" ht="12.75" customHeight="1" x14ac:dyDescent="0.2">
      <c r="A374" s="528"/>
      <c r="B374" s="723" t="s">
        <v>609</v>
      </c>
      <c r="C374" s="692"/>
      <c r="D374" s="693"/>
      <c r="E374" s="693"/>
      <c r="F374" s="693"/>
      <c r="G374" s="724" t="s">
        <v>636</v>
      </c>
    </row>
    <row r="375" spans="1:8" ht="12.75" customHeight="1" x14ac:dyDescent="0.2">
      <c r="A375" s="528"/>
      <c r="B375" s="723" t="s">
        <v>652</v>
      </c>
      <c r="C375" s="692"/>
      <c r="D375" s="693"/>
      <c r="E375" s="693"/>
      <c r="F375" s="693"/>
      <c r="G375" s="724">
        <v>3056</v>
      </c>
    </row>
    <row r="376" spans="1:8" ht="12.75" customHeight="1" x14ac:dyDescent="0.2">
      <c r="A376" s="528"/>
      <c r="B376" s="723" t="s">
        <v>610</v>
      </c>
      <c r="C376" s="692"/>
      <c r="D376" s="693"/>
      <c r="E376" s="693"/>
      <c r="F376" s="693"/>
      <c r="G376" s="724">
        <v>3057</v>
      </c>
    </row>
    <row r="377" spans="1:8" ht="12.75" customHeight="1" x14ac:dyDescent="0.2">
      <c r="A377" s="528"/>
      <c r="B377" s="723" t="s">
        <v>611</v>
      </c>
      <c r="C377" s="692"/>
      <c r="D377" s="693"/>
      <c r="E377" s="693"/>
      <c r="F377" s="693"/>
      <c r="G377" s="724" t="s">
        <v>638</v>
      </c>
    </row>
    <row r="378" spans="1:8" ht="12.75" customHeight="1" x14ac:dyDescent="0.2">
      <c r="A378" s="528"/>
      <c r="B378" s="723" t="s">
        <v>612</v>
      </c>
      <c r="C378" s="692"/>
      <c r="D378" s="693"/>
      <c r="E378" s="693"/>
      <c r="F378" s="693"/>
      <c r="G378" s="724" t="s">
        <v>639</v>
      </c>
    </row>
    <row r="379" spans="1:8" ht="12.75" customHeight="1" x14ac:dyDescent="0.2">
      <c r="A379" s="528"/>
      <c r="B379" s="723" t="s">
        <v>649</v>
      </c>
      <c r="C379" s="692"/>
      <c r="D379" s="693"/>
      <c r="E379" s="693"/>
      <c r="F379" s="693"/>
      <c r="G379" s="724">
        <v>3061</v>
      </c>
    </row>
    <row r="380" spans="1:8" ht="12.75" customHeight="1" x14ac:dyDescent="0.2">
      <c r="A380" s="528"/>
      <c r="B380" s="723" t="s">
        <v>658</v>
      </c>
      <c r="C380" s="692"/>
      <c r="D380" s="693"/>
      <c r="E380" s="693"/>
      <c r="F380" s="693"/>
      <c r="G380" s="724">
        <v>3063</v>
      </c>
    </row>
    <row r="381" spans="1:8" ht="12.75" customHeight="1" x14ac:dyDescent="0.2">
      <c r="A381" s="528"/>
      <c r="B381" s="723" t="s">
        <v>613</v>
      </c>
      <c r="C381" s="692"/>
      <c r="D381" s="693"/>
      <c r="E381" s="693"/>
      <c r="F381" s="693"/>
      <c r="G381" s="724" t="s">
        <v>640</v>
      </c>
    </row>
    <row r="382" spans="1:8" ht="12.75" customHeight="1" x14ac:dyDescent="0.2">
      <c r="A382" s="528"/>
      <c r="B382" s="723" t="s">
        <v>662</v>
      </c>
      <c r="C382" s="692"/>
      <c r="D382" s="693"/>
      <c r="E382" s="693"/>
      <c r="F382" s="693"/>
      <c r="G382" s="724">
        <v>3065</v>
      </c>
    </row>
    <row r="383" spans="1:8" ht="12.75" customHeight="1" x14ac:dyDescent="0.2">
      <c r="A383" s="528"/>
      <c r="B383" s="723" t="s">
        <v>614</v>
      </c>
      <c r="C383" s="692"/>
      <c r="D383" s="693"/>
      <c r="E383" s="693"/>
      <c r="F383" s="693"/>
      <c r="G383" s="724" t="s">
        <v>641</v>
      </c>
    </row>
    <row r="384" spans="1:8" ht="12.75" customHeight="1" x14ac:dyDescent="0.2">
      <c r="A384" s="528"/>
      <c r="B384" s="723" t="s">
        <v>615</v>
      </c>
      <c r="C384" s="692"/>
      <c r="D384" s="693"/>
      <c r="E384" s="693"/>
      <c r="F384" s="693"/>
      <c r="G384" s="724" t="s">
        <v>642</v>
      </c>
      <c r="H384" s="695"/>
    </row>
    <row r="385" spans="1:8" ht="12.75" customHeight="1" x14ac:dyDescent="0.2">
      <c r="A385" s="528"/>
      <c r="B385" s="723" t="s">
        <v>616</v>
      </c>
      <c r="C385" s="692"/>
      <c r="D385" s="693">
        <v>0</v>
      </c>
      <c r="E385" s="693"/>
      <c r="F385" s="693"/>
      <c r="G385" s="724">
        <v>3068</v>
      </c>
      <c r="H385" s="695"/>
    </row>
    <row r="386" spans="1:8" ht="12.75" customHeight="1" x14ac:dyDescent="0.2">
      <c r="A386" s="528"/>
      <c r="B386" s="723" t="s">
        <v>617</v>
      </c>
      <c r="C386" s="692"/>
      <c r="D386" s="693">
        <v>0</v>
      </c>
      <c r="E386" s="693"/>
      <c r="F386" s="693"/>
      <c r="G386" s="724">
        <v>3069</v>
      </c>
      <c r="H386" s="695"/>
    </row>
    <row r="387" spans="1:8" ht="12.75" customHeight="1" x14ac:dyDescent="0.2">
      <c r="A387" s="528"/>
      <c r="B387" s="723" t="s">
        <v>653</v>
      </c>
      <c r="C387" s="692"/>
      <c r="D387" s="693">
        <v>0</v>
      </c>
      <c r="E387" s="693"/>
      <c r="F387" s="693"/>
      <c r="G387" s="724">
        <v>3073</v>
      </c>
    </row>
    <row r="388" spans="1:8" ht="12.75" customHeight="1" x14ac:dyDescent="0.2">
      <c r="A388" s="528"/>
      <c r="B388" s="726" t="s">
        <v>303</v>
      </c>
      <c r="D388" s="693">
        <v>101104.88</v>
      </c>
      <c r="E388" s="725">
        <f>SUM(D388)</f>
        <v>101104.88</v>
      </c>
      <c r="F388" s="693"/>
      <c r="G388" s="683">
        <v>3001</v>
      </c>
      <c r="H388" s="695"/>
    </row>
    <row r="389" spans="1:8" ht="12.75" customHeight="1" x14ac:dyDescent="0.2">
      <c r="A389" s="528"/>
      <c r="B389" s="727" t="s">
        <v>439</v>
      </c>
      <c r="C389" s="697"/>
      <c r="D389" s="693"/>
      <c r="E389" s="725">
        <f>SUM(D390:D395)</f>
        <v>389007.6999999999</v>
      </c>
      <c r="F389" s="693"/>
    </row>
    <row r="390" spans="1:8" ht="12.75" customHeight="1" x14ac:dyDescent="0.2">
      <c r="A390" s="528"/>
      <c r="B390" s="694"/>
      <c r="C390" s="696" t="s">
        <v>304</v>
      </c>
      <c r="D390" s="693">
        <v>73664.36</v>
      </c>
      <c r="E390" s="693"/>
      <c r="F390" s="693"/>
      <c r="G390" s="683">
        <v>4000</v>
      </c>
    </row>
    <row r="391" spans="1:8" ht="12.75" customHeight="1" x14ac:dyDescent="0.2">
      <c r="A391" s="528"/>
      <c r="B391" s="694"/>
      <c r="C391" s="696" t="s">
        <v>305</v>
      </c>
      <c r="D391" s="693">
        <v>309.04000000000002</v>
      </c>
      <c r="E391" s="693"/>
      <c r="F391" s="693"/>
      <c r="G391" s="683">
        <v>4001</v>
      </c>
    </row>
    <row r="392" spans="1:8" ht="12.75" customHeight="1" x14ac:dyDescent="0.2">
      <c r="A392" s="528"/>
      <c r="B392" s="694"/>
      <c r="C392" s="696" t="s">
        <v>306</v>
      </c>
      <c r="D392" s="693">
        <v>275684.93</v>
      </c>
      <c r="E392" s="693"/>
      <c r="F392" s="693"/>
    </row>
    <row r="393" spans="1:8" ht="12.75" customHeight="1" x14ac:dyDescent="0.2">
      <c r="A393" s="528"/>
      <c r="B393" s="694"/>
      <c r="C393" s="696" t="s">
        <v>307</v>
      </c>
      <c r="D393" s="693">
        <v>1774.41</v>
      </c>
      <c r="E393" s="693"/>
      <c r="F393" s="693"/>
    </row>
    <row r="394" spans="1:8" ht="12.75" customHeight="1" x14ac:dyDescent="0.2">
      <c r="A394" s="528"/>
      <c r="B394" s="694"/>
      <c r="C394" s="697" t="s">
        <v>308</v>
      </c>
      <c r="D394" s="693">
        <v>10421.969999999999</v>
      </c>
      <c r="E394" s="693"/>
      <c r="F394" s="693"/>
    </row>
    <row r="395" spans="1:8" ht="12.75" customHeight="1" x14ac:dyDescent="0.2">
      <c r="A395" s="528"/>
      <c r="B395" s="694"/>
      <c r="C395" s="697" t="s">
        <v>121</v>
      </c>
      <c r="D395" s="693">
        <v>27152.99</v>
      </c>
      <c r="E395" s="693"/>
      <c r="F395" s="693"/>
    </row>
    <row r="396" spans="1:8" ht="12.75" customHeight="1" x14ac:dyDescent="0.2">
      <c r="A396" s="698"/>
      <c r="B396" s="699" t="s">
        <v>309</v>
      </c>
      <c r="C396" s="730"/>
      <c r="D396" s="693">
        <v>0</v>
      </c>
      <c r="E396" s="701"/>
      <c r="F396" s="701"/>
    </row>
    <row r="397" spans="1:8" ht="12.75" customHeight="1" x14ac:dyDescent="0.2">
      <c r="A397" s="698"/>
      <c r="B397" s="729" t="s">
        <v>310</v>
      </c>
      <c r="D397" s="693">
        <v>0</v>
      </c>
      <c r="E397" s="728">
        <f>D397</f>
        <v>0</v>
      </c>
      <c r="F397" s="701"/>
      <c r="G397" s="683">
        <v>5000</v>
      </c>
    </row>
    <row r="398" spans="1:8" ht="12.75" customHeight="1" thickBot="1" x14ac:dyDescent="0.25">
      <c r="A398" s="702"/>
      <c r="B398" s="703"/>
      <c r="C398" s="704"/>
      <c r="D398" s="705"/>
      <c r="E398" s="706"/>
      <c r="F398" s="731">
        <f>SUM(E346:E397)</f>
        <v>740625.44</v>
      </c>
      <c r="H398" s="707">
        <f>'Sched-B1'!B11+'Sched-B2'!E139+'Sched-D1'!F398-6344528.23-150959.01</f>
        <v>-2.3283064365386963E-10</v>
      </c>
    </row>
    <row r="399" spans="1:8" ht="12.75" customHeight="1" x14ac:dyDescent="0.2">
      <c r="A399" s="688" t="s">
        <v>671</v>
      </c>
      <c r="B399" s="907" t="s">
        <v>860</v>
      </c>
      <c r="C399" s="689"/>
      <c r="D399" s="690"/>
      <c r="E399" s="691">
        <v>0</v>
      </c>
      <c r="F399" s="691"/>
    </row>
    <row r="400" spans="1:8" ht="12.75" customHeight="1" x14ac:dyDescent="0.2">
      <c r="A400" s="528"/>
      <c r="B400" s="721" t="s">
        <v>590</v>
      </c>
      <c r="C400" s="692"/>
      <c r="D400" s="693">
        <v>256763.36</v>
      </c>
      <c r="E400" s="725">
        <f>SUM(D400:D436)</f>
        <v>555218.31000000006</v>
      </c>
      <c r="F400" s="693"/>
      <c r="H400" s="695"/>
    </row>
    <row r="401" spans="1:10" ht="12.75" customHeight="1" x14ac:dyDescent="0.2">
      <c r="A401" s="528"/>
      <c r="B401" s="723" t="s">
        <v>591</v>
      </c>
      <c r="C401" s="692"/>
      <c r="D401" s="693"/>
      <c r="E401" s="693"/>
      <c r="F401" s="693"/>
      <c r="G401" s="724" t="s">
        <v>618</v>
      </c>
      <c r="H401" s="735"/>
      <c r="I401" s="590" t="s">
        <v>867</v>
      </c>
      <c r="J401" s="590"/>
    </row>
    <row r="402" spans="1:10" ht="12.75" customHeight="1" x14ac:dyDescent="0.2">
      <c r="A402" s="528"/>
      <c r="B402" s="723" t="s">
        <v>592</v>
      </c>
      <c r="C402" s="692"/>
      <c r="D402" s="693"/>
      <c r="E402" s="693"/>
      <c r="F402" s="693"/>
      <c r="G402" s="724" t="s">
        <v>619</v>
      </c>
      <c r="H402" s="590"/>
      <c r="I402" s="590"/>
      <c r="J402" s="590"/>
    </row>
    <row r="403" spans="1:10" ht="12.75" customHeight="1" x14ac:dyDescent="0.2">
      <c r="A403" s="528"/>
      <c r="B403" s="723" t="s">
        <v>593</v>
      </c>
      <c r="C403" s="692"/>
      <c r="D403" s="693"/>
      <c r="E403" s="693"/>
      <c r="F403" s="693"/>
      <c r="G403" s="724" t="s">
        <v>620</v>
      </c>
    </row>
    <row r="404" spans="1:10" ht="12.75" customHeight="1" x14ac:dyDescent="0.2">
      <c r="A404" s="528"/>
      <c r="B404" s="723" t="s">
        <v>661</v>
      </c>
      <c r="C404" s="692"/>
      <c r="D404" s="693"/>
      <c r="E404" s="693"/>
      <c r="F404" s="693"/>
      <c r="G404" s="724">
        <v>3014</v>
      </c>
    </row>
    <row r="405" spans="1:10" ht="12.75" customHeight="1" x14ac:dyDescent="0.2">
      <c r="A405" s="528"/>
      <c r="B405" s="723" t="s">
        <v>594</v>
      </c>
      <c r="C405" s="692"/>
      <c r="D405" s="693"/>
      <c r="E405" s="693"/>
      <c r="F405" s="693"/>
      <c r="G405" s="724" t="s">
        <v>621</v>
      </c>
    </row>
    <row r="406" spans="1:10" ht="12.75" customHeight="1" x14ac:dyDescent="0.2">
      <c r="A406" s="528"/>
      <c r="B406" s="723" t="s">
        <v>595</v>
      </c>
      <c r="C406" s="692"/>
      <c r="D406" s="693"/>
      <c r="E406" s="693"/>
      <c r="F406" s="693"/>
      <c r="G406" s="724" t="s">
        <v>622</v>
      </c>
    </row>
    <row r="407" spans="1:10" ht="12.75" customHeight="1" x14ac:dyDescent="0.2">
      <c r="A407" s="528"/>
      <c r="B407" s="723" t="s">
        <v>670</v>
      </c>
      <c r="C407" s="692"/>
      <c r="D407" s="693"/>
      <c r="E407" s="693"/>
      <c r="F407" s="693"/>
      <c r="G407" s="724">
        <v>3028</v>
      </c>
    </row>
    <row r="408" spans="1:10" ht="12.75" customHeight="1" x14ac:dyDescent="0.2">
      <c r="A408" s="528"/>
      <c r="B408" s="733" t="s">
        <v>50</v>
      </c>
      <c r="C408" s="692"/>
      <c r="D408" s="693">
        <v>298454.95</v>
      </c>
      <c r="E408" s="693"/>
      <c r="F408" s="693"/>
      <c r="G408" s="724"/>
    </row>
    <row r="409" spans="1:10" ht="12.75" customHeight="1" x14ac:dyDescent="0.2">
      <c r="A409" s="528"/>
      <c r="B409" s="723" t="s">
        <v>596</v>
      </c>
      <c r="C409" s="692"/>
      <c r="D409" s="693"/>
      <c r="E409" s="693"/>
      <c r="F409" s="693"/>
      <c r="G409" s="724" t="s">
        <v>623</v>
      </c>
    </row>
    <row r="410" spans="1:10" ht="12.75" customHeight="1" x14ac:dyDescent="0.2">
      <c r="A410" s="528"/>
      <c r="B410" s="723" t="s">
        <v>597</v>
      </c>
      <c r="C410" s="692"/>
      <c r="D410" s="693"/>
      <c r="E410" s="693"/>
      <c r="F410" s="693"/>
      <c r="G410" s="724" t="s">
        <v>624</v>
      </c>
    </row>
    <row r="411" spans="1:10" ht="12.75" customHeight="1" x14ac:dyDescent="0.2">
      <c r="A411" s="528"/>
      <c r="B411" s="723" t="s">
        <v>647</v>
      </c>
      <c r="C411" s="692"/>
      <c r="D411" s="693"/>
      <c r="E411" s="693"/>
      <c r="F411" s="693"/>
      <c r="G411" s="724">
        <v>3034</v>
      </c>
    </row>
    <row r="412" spans="1:10" ht="12.75" customHeight="1" x14ac:dyDescent="0.2">
      <c r="A412" s="528"/>
      <c r="B412" s="723" t="s">
        <v>598</v>
      </c>
      <c r="C412" s="692"/>
      <c r="D412" s="693"/>
      <c r="E412" s="693"/>
      <c r="F412" s="693"/>
      <c r="G412" s="724" t="s">
        <v>625</v>
      </c>
    </row>
    <row r="413" spans="1:10" ht="12.75" customHeight="1" x14ac:dyDescent="0.2">
      <c r="A413" s="528"/>
      <c r="B413" s="723" t="s">
        <v>599</v>
      </c>
      <c r="C413" s="692"/>
      <c r="D413" s="693"/>
      <c r="E413" s="693"/>
      <c r="F413" s="693"/>
      <c r="G413" s="724" t="s">
        <v>626</v>
      </c>
    </row>
    <row r="414" spans="1:10" ht="12.75" customHeight="1" x14ac:dyDescent="0.2">
      <c r="A414" s="528"/>
      <c r="B414" s="723" t="s">
        <v>600</v>
      </c>
      <c r="C414" s="692"/>
      <c r="D414" s="693"/>
      <c r="E414" s="693"/>
      <c r="F414" s="693"/>
      <c r="G414" s="724" t="s">
        <v>627</v>
      </c>
    </row>
    <row r="415" spans="1:10" ht="12.75" customHeight="1" x14ac:dyDescent="0.2">
      <c r="A415" s="528"/>
      <c r="B415" s="723" t="s">
        <v>601</v>
      </c>
      <c r="C415" s="692"/>
      <c r="D415" s="693"/>
      <c r="E415" s="693"/>
      <c r="F415" s="693"/>
      <c r="G415" s="724" t="s">
        <v>628</v>
      </c>
    </row>
    <row r="416" spans="1:10" ht="12.75" customHeight="1" x14ac:dyDescent="0.2">
      <c r="A416" s="528"/>
      <c r="B416" s="723" t="s">
        <v>602</v>
      </c>
      <c r="C416" s="692"/>
      <c r="D416" s="693"/>
      <c r="E416" s="693"/>
      <c r="F416" s="693"/>
      <c r="G416" s="724" t="s">
        <v>629</v>
      </c>
    </row>
    <row r="417" spans="1:7" ht="12.75" customHeight="1" x14ac:dyDescent="0.2">
      <c r="A417" s="528"/>
      <c r="B417" s="723" t="s">
        <v>603</v>
      </c>
      <c r="C417" s="692"/>
      <c r="D417" s="693"/>
      <c r="E417" s="693"/>
      <c r="F417" s="693"/>
      <c r="G417" s="724" t="s">
        <v>630</v>
      </c>
    </row>
    <row r="418" spans="1:7" ht="12.75" customHeight="1" x14ac:dyDescent="0.2">
      <c r="A418" s="528"/>
      <c r="B418" s="723" t="s">
        <v>604</v>
      </c>
      <c r="C418" s="692"/>
      <c r="D418" s="693"/>
      <c r="E418" s="693"/>
      <c r="F418" s="693"/>
      <c r="G418" s="724" t="s">
        <v>631</v>
      </c>
    </row>
    <row r="419" spans="1:7" ht="12.75" customHeight="1" x14ac:dyDescent="0.2">
      <c r="A419" s="528"/>
      <c r="B419" s="723" t="s">
        <v>605</v>
      </c>
      <c r="C419" s="692"/>
      <c r="D419" s="693"/>
      <c r="E419" s="693"/>
      <c r="F419" s="693"/>
      <c r="G419" s="724" t="s">
        <v>632</v>
      </c>
    </row>
    <row r="420" spans="1:7" ht="12.75" customHeight="1" x14ac:dyDescent="0.2">
      <c r="A420" s="528"/>
      <c r="B420" s="723" t="s">
        <v>606</v>
      </c>
      <c r="C420" s="692"/>
      <c r="D420" s="693"/>
      <c r="E420" s="693"/>
      <c r="F420" s="693"/>
      <c r="G420" s="724" t="s">
        <v>633</v>
      </c>
    </row>
    <row r="421" spans="1:7" ht="12.75" customHeight="1" x14ac:dyDescent="0.2">
      <c r="A421" s="528"/>
      <c r="B421" s="723" t="s">
        <v>648</v>
      </c>
      <c r="C421" s="692"/>
      <c r="D421" s="693"/>
      <c r="E421" s="693"/>
      <c r="F421" s="693"/>
      <c r="G421" s="724">
        <v>3048</v>
      </c>
    </row>
    <row r="422" spans="1:7" ht="12.75" customHeight="1" x14ac:dyDescent="0.2">
      <c r="A422" s="528"/>
      <c r="B422" s="723" t="s">
        <v>651</v>
      </c>
      <c r="C422" s="692"/>
      <c r="D422" s="693"/>
      <c r="E422" s="693"/>
      <c r="F422" s="693"/>
      <c r="G422" s="724">
        <v>3051</v>
      </c>
    </row>
    <row r="423" spans="1:7" ht="12.75" customHeight="1" x14ac:dyDescent="0.2">
      <c r="A423" s="528"/>
      <c r="B423" s="723" t="s">
        <v>607</v>
      </c>
      <c r="C423" s="692"/>
      <c r="D423" s="693"/>
      <c r="E423" s="693"/>
      <c r="F423" s="693"/>
      <c r="G423" s="724" t="s">
        <v>634</v>
      </c>
    </row>
    <row r="424" spans="1:7" ht="12.75" customHeight="1" x14ac:dyDescent="0.2">
      <c r="A424" s="528"/>
      <c r="B424" s="723" t="s">
        <v>608</v>
      </c>
      <c r="C424" s="692"/>
      <c r="D424" s="693"/>
      <c r="E424" s="693"/>
      <c r="F424" s="693"/>
      <c r="G424" s="724" t="s">
        <v>635</v>
      </c>
    </row>
    <row r="425" spans="1:7" ht="12.75" customHeight="1" x14ac:dyDescent="0.2">
      <c r="A425" s="528"/>
      <c r="B425" s="723" t="s">
        <v>667</v>
      </c>
      <c r="C425" s="692"/>
      <c r="D425" s="693"/>
      <c r="E425" s="693"/>
      <c r="F425" s="693"/>
      <c r="G425" s="724">
        <v>3052</v>
      </c>
    </row>
    <row r="426" spans="1:7" ht="12.75" customHeight="1" x14ac:dyDescent="0.2">
      <c r="A426" s="528"/>
      <c r="B426" s="723" t="s">
        <v>609</v>
      </c>
      <c r="C426" s="692"/>
      <c r="D426" s="693"/>
      <c r="E426" s="693"/>
      <c r="F426" s="693"/>
      <c r="G426" s="724" t="s">
        <v>636</v>
      </c>
    </row>
    <row r="427" spans="1:7" ht="12.75" customHeight="1" x14ac:dyDescent="0.2">
      <c r="A427" s="528"/>
      <c r="B427" s="723" t="s">
        <v>610</v>
      </c>
      <c r="C427" s="692"/>
      <c r="D427" s="693"/>
      <c r="E427" s="693"/>
      <c r="F427" s="693"/>
      <c r="G427" s="724" t="s">
        <v>637</v>
      </c>
    </row>
    <row r="428" spans="1:7" ht="12.75" customHeight="1" x14ac:dyDescent="0.2">
      <c r="A428" s="528"/>
      <c r="B428" s="723" t="s">
        <v>611</v>
      </c>
      <c r="C428" s="692"/>
      <c r="D428" s="693"/>
      <c r="E428" s="693"/>
      <c r="F428" s="693"/>
      <c r="G428" s="724" t="s">
        <v>638</v>
      </c>
    </row>
    <row r="429" spans="1:7" ht="12.75" customHeight="1" x14ac:dyDescent="0.2">
      <c r="A429" s="528"/>
      <c r="B429" s="723" t="s">
        <v>612</v>
      </c>
      <c r="C429" s="692"/>
      <c r="D429" s="693"/>
      <c r="E429" s="693"/>
      <c r="F429" s="693"/>
      <c r="G429" s="724" t="s">
        <v>639</v>
      </c>
    </row>
    <row r="430" spans="1:7" ht="12.75" customHeight="1" x14ac:dyDescent="0.2">
      <c r="A430" s="528"/>
      <c r="B430" s="723" t="s">
        <v>649</v>
      </c>
      <c r="C430" s="692"/>
      <c r="D430" s="693"/>
      <c r="E430" s="693"/>
      <c r="F430" s="693"/>
      <c r="G430" s="724">
        <v>3061</v>
      </c>
    </row>
    <row r="431" spans="1:7" ht="12.75" customHeight="1" x14ac:dyDescent="0.2">
      <c r="A431" s="528"/>
      <c r="B431" s="723" t="s">
        <v>613</v>
      </c>
      <c r="C431" s="692"/>
      <c r="D431" s="693"/>
      <c r="E431" s="693"/>
      <c r="F431" s="693"/>
      <c r="G431" s="724" t="s">
        <v>640</v>
      </c>
    </row>
    <row r="432" spans="1:7" ht="12.75" customHeight="1" x14ac:dyDescent="0.2">
      <c r="A432" s="528"/>
      <c r="B432" s="723" t="s">
        <v>662</v>
      </c>
      <c r="C432" s="692"/>
      <c r="D432" s="693"/>
      <c r="E432" s="693"/>
      <c r="F432" s="693"/>
      <c r="G432" s="724">
        <v>3065</v>
      </c>
    </row>
    <row r="433" spans="1:9" ht="12.75" customHeight="1" x14ac:dyDescent="0.2">
      <c r="A433" s="528"/>
      <c r="B433" s="723" t="s">
        <v>614</v>
      </c>
      <c r="C433" s="692"/>
      <c r="D433" s="693"/>
      <c r="E433" s="693"/>
      <c r="F433" s="693"/>
      <c r="G433" s="724" t="s">
        <v>641</v>
      </c>
    </row>
    <row r="434" spans="1:9" ht="12.75" customHeight="1" x14ac:dyDescent="0.2">
      <c r="A434" s="528"/>
      <c r="B434" s="723" t="s">
        <v>615</v>
      </c>
      <c r="C434" s="692"/>
      <c r="D434" s="693"/>
      <c r="E434" s="693"/>
      <c r="F434" s="693"/>
      <c r="G434" s="724" t="s">
        <v>642</v>
      </c>
      <c r="H434" s="695"/>
    </row>
    <row r="435" spans="1:9" ht="12.75" customHeight="1" x14ac:dyDescent="0.2">
      <c r="A435" s="528"/>
      <c r="B435" s="723" t="s">
        <v>616</v>
      </c>
      <c r="C435" s="692"/>
      <c r="D435" s="693"/>
      <c r="E435" s="693"/>
      <c r="F435" s="693"/>
      <c r="G435" s="724" t="s">
        <v>643</v>
      </c>
    </row>
    <row r="436" spans="1:9" ht="12.75" customHeight="1" x14ac:dyDescent="0.2">
      <c r="A436" s="528"/>
      <c r="B436" s="723" t="s">
        <v>617</v>
      </c>
      <c r="C436" s="692"/>
      <c r="D436" s="693"/>
      <c r="E436" s="693"/>
      <c r="F436" s="693"/>
      <c r="G436" s="724" t="s">
        <v>644</v>
      </c>
      <c r="H436" s="695"/>
    </row>
    <row r="437" spans="1:9" ht="12.75" customHeight="1" x14ac:dyDescent="0.2">
      <c r="A437" s="528"/>
      <c r="B437" s="726" t="s">
        <v>303</v>
      </c>
      <c r="C437" s="696"/>
      <c r="D437" s="693">
        <v>140193.57999999999</v>
      </c>
      <c r="E437" s="725">
        <f>SUM(D437)</f>
        <v>140193.57999999999</v>
      </c>
      <c r="F437" s="693"/>
      <c r="G437" s="724" t="s">
        <v>868</v>
      </c>
      <c r="H437" s="695"/>
    </row>
    <row r="438" spans="1:9" ht="12.75" customHeight="1" x14ac:dyDescent="0.2">
      <c r="A438" s="528"/>
      <c r="B438" s="727" t="s">
        <v>439</v>
      </c>
      <c r="C438" s="697"/>
      <c r="D438" s="693"/>
      <c r="E438" s="725">
        <f>SUM(D439:D444)</f>
        <v>16914.78</v>
      </c>
      <c r="F438" s="693"/>
      <c r="H438" s="695"/>
    </row>
    <row r="439" spans="1:9" ht="12.75" customHeight="1" x14ac:dyDescent="0.2">
      <c r="A439" s="528"/>
      <c r="B439" s="694"/>
      <c r="C439" s="696" t="s">
        <v>304</v>
      </c>
      <c r="D439" s="693">
        <v>569.89</v>
      </c>
      <c r="E439" s="693"/>
      <c r="F439" s="693"/>
      <c r="G439" s="683">
        <v>4000</v>
      </c>
      <c r="H439" s="695"/>
    </row>
    <row r="440" spans="1:9" ht="12.75" customHeight="1" x14ac:dyDescent="0.2">
      <c r="A440" s="528"/>
      <c r="B440" s="694"/>
      <c r="C440" s="696" t="s">
        <v>305</v>
      </c>
      <c r="D440" s="693"/>
      <c r="E440" s="693"/>
      <c r="F440" s="693"/>
      <c r="G440" s="683">
        <v>4001</v>
      </c>
    </row>
    <row r="441" spans="1:9" ht="12.75" customHeight="1" x14ac:dyDescent="0.2">
      <c r="A441" s="528"/>
      <c r="B441" s="694"/>
      <c r="C441" s="696" t="s">
        <v>306</v>
      </c>
      <c r="D441" s="693">
        <v>682.88</v>
      </c>
      <c r="E441" s="693"/>
      <c r="F441" s="693"/>
      <c r="G441" s="683">
        <v>4002</v>
      </c>
    </row>
    <row r="442" spans="1:9" ht="12.75" customHeight="1" x14ac:dyDescent="0.2">
      <c r="A442" s="528"/>
      <c r="B442" s="694"/>
      <c r="C442" s="696" t="s">
        <v>307</v>
      </c>
      <c r="D442" s="693"/>
      <c r="E442" s="693"/>
      <c r="F442" s="693"/>
      <c r="G442" s="683">
        <v>4003</v>
      </c>
    </row>
    <row r="443" spans="1:9" ht="12.75" customHeight="1" x14ac:dyDescent="0.2">
      <c r="A443" s="708"/>
      <c r="B443" s="694"/>
      <c r="C443" s="697" t="s">
        <v>308</v>
      </c>
      <c r="D443" s="693"/>
      <c r="E443" s="693"/>
      <c r="F443" s="693"/>
      <c r="G443" s="683">
        <v>4004</v>
      </c>
    </row>
    <row r="444" spans="1:9" ht="12.75" customHeight="1" x14ac:dyDescent="0.2">
      <c r="A444" s="528"/>
      <c r="B444" s="694"/>
      <c r="C444" s="697" t="s">
        <v>121</v>
      </c>
      <c r="D444" s="693">
        <v>15662.01</v>
      </c>
      <c r="E444" s="693"/>
      <c r="F444" s="693"/>
      <c r="G444" s="683">
        <v>4005</v>
      </c>
    </row>
    <row r="445" spans="1:9" ht="12.75" customHeight="1" x14ac:dyDescent="0.2">
      <c r="A445" s="528"/>
      <c r="B445" s="699" t="s">
        <v>309</v>
      </c>
      <c r="C445" s="697"/>
      <c r="D445" s="711"/>
      <c r="E445" s="701"/>
      <c r="F445" s="693"/>
    </row>
    <row r="446" spans="1:9" ht="12.75" customHeight="1" x14ac:dyDescent="0.25">
      <c r="A446" s="528"/>
      <c r="B446" s="729" t="s">
        <v>310</v>
      </c>
      <c r="D446" s="693"/>
      <c r="E446" s="728">
        <f>D446</f>
        <v>0</v>
      </c>
      <c r="F446" s="693"/>
      <c r="G446" s="683">
        <v>5004</v>
      </c>
      <c r="H446" s="784">
        <v>712326.67</v>
      </c>
      <c r="I446" s="236" t="s">
        <v>959</v>
      </c>
    </row>
    <row r="447" spans="1:9" ht="12.75" customHeight="1" thickBot="1" x14ac:dyDescent="0.25">
      <c r="A447" s="702"/>
      <c r="B447" s="703"/>
      <c r="C447" s="704"/>
      <c r="D447" s="709"/>
      <c r="E447" s="706"/>
      <c r="F447" s="731">
        <f>SUM(E399:E447)*0</f>
        <v>0</v>
      </c>
      <c r="H447" s="707">
        <f>'Sched-B1'!B12+'Sched-B2'!E156+'Sched-D1'!F447-508692.45-298454.95</f>
        <v>-712326.67</v>
      </c>
    </row>
    <row r="448" spans="1:9" ht="12.75" customHeight="1" x14ac:dyDescent="0.2">
      <c r="A448" s="688" t="s">
        <v>659</v>
      </c>
      <c r="B448" s="907" t="s">
        <v>860</v>
      </c>
      <c r="C448" s="689"/>
      <c r="D448" s="690"/>
      <c r="E448" s="691">
        <f>29274.09+95+10639.22</f>
        <v>40008.31</v>
      </c>
      <c r="F448" s="691"/>
      <c r="G448" s="649" t="s">
        <v>861</v>
      </c>
    </row>
    <row r="449" spans="1:7" ht="12.75" customHeight="1" x14ac:dyDescent="0.2">
      <c r="A449" s="528"/>
      <c r="B449" s="721" t="s">
        <v>590</v>
      </c>
      <c r="C449" s="692"/>
      <c r="D449" s="693">
        <v>1502290.06</v>
      </c>
      <c r="E449" s="725">
        <f>SUM(D449:D490)</f>
        <v>2690684.45</v>
      </c>
      <c r="F449" s="693"/>
    </row>
    <row r="450" spans="1:7" ht="12.75" customHeight="1" x14ac:dyDescent="0.2">
      <c r="A450" s="528"/>
      <c r="B450" s="723" t="s">
        <v>591</v>
      </c>
      <c r="C450" s="692"/>
      <c r="D450" s="693"/>
      <c r="E450" s="693"/>
      <c r="F450" s="693"/>
      <c r="G450" s="724" t="s">
        <v>618</v>
      </c>
    </row>
    <row r="451" spans="1:7" ht="12.75" customHeight="1" x14ac:dyDescent="0.2">
      <c r="A451" s="528"/>
      <c r="B451" s="723" t="s">
        <v>592</v>
      </c>
      <c r="C451" s="692"/>
      <c r="D451" s="693"/>
      <c r="E451" s="693"/>
      <c r="F451" s="693"/>
      <c r="G451" s="724" t="s">
        <v>619</v>
      </c>
    </row>
    <row r="452" spans="1:7" ht="12.75" customHeight="1" x14ac:dyDescent="0.2">
      <c r="A452" s="528"/>
      <c r="B452" s="723" t="s">
        <v>650</v>
      </c>
      <c r="C452" s="692"/>
      <c r="D452" s="693"/>
      <c r="E452" s="693"/>
      <c r="F452" s="693"/>
      <c r="G452" s="724">
        <v>3003</v>
      </c>
    </row>
    <row r="453" spans="1:7" ht="12.75" customHeight="1" x14ac:dyDescent="0.2">
      <c r="A453" s="528"/>
      <c r="B453" s="723" t="s">
        <v>663</v>
      </c>
      <c r="C453" s="692"/>
      <c r="D453" s="693"/>
      <c r="E453" s="693"/>
      <c r="F453" s="693"/>
      <c r="G453" s="724">
        <v>3010</v>
      </c>
    </row>
    <row r="454" spans="1:7" ht="12.75" customHeight="1" x14ac:dyDescent="0.2">
      <c r="A454" s="528"/>
      <c r="B454" s="723" t="s">
        <v>593</v>
      </c>
      <c r="C454" s="692"/>
      <c r="D454" s="693"/>
      <c r="E454" s="693"/>
      <c r="F454" s="693"/>
      <c r="G454" s="724" t="s">
        <v>620</v>
      </c>
    </row>
    <row r="455" spans="1:7" ht="12.75" customHeight="1" x14ac:dyDescent="0.2">
      <c r="A455" s="528"/>
      <c r="B455" s="723" t="s">
        <v>661</v>
      </c>
      <c r="C455" s="692"/>
      <c r="D455" s="693"/>
      <c r="E455" s="693"/>
      <c r="F455" s="693"/>
      <c r="G455" s="724">
        <v>3014</v>
      </c>
    </row>
    <row r="456" spans="1:7" ht="12.75" customHeight="1" x14ac:dyDescent="0.2">
      <c r="A456" s="528"/>
      <c r="B456" s="723" t="s">
        <v>594</v>
      </c>
      <c r="C456" s="692"/>
      <c r="D456" s="693"/>
      <c r="E456" s="693"/>
      <c r="F456" s="693"/>
      <c r="G456" s="724" t="s">
        <v>621</v>
      </c>
    </row>
    <row r="457" spans="1:7" ht="12.75" customHeight="1" x14ac:dyDescent="0.2">
      <c r="A457" s="528"/>
      <c r="B457" s="723" t="s">
        <v>595</v>
      </c>
      <c r="C457" s="692"/>
      <c r="D457" s="693"/>
      <c r="E457" s="693"/>
      <c r="F457" s="693"/>
      <c r="G457" s="724" t="s">
        <v>622</v>
      </c>
    </row>
    <row r="458" spans="1:7" ht="12.75" customHeight="1" x14ac:dyDescent="0.2">
      <c r="A458" s="528"/>
      <c r="B458" s="733" t="s">
        <v>50</v>
      </c>
      <c r="C458" s="692"/>
      <c r="D458" s="693">
        <v>1188394.3899999999</v>
      </c>
      <c r="E458" s="693"/>
      <c r="F458" s="693"/>
      <c r="G458" s="724"/>
    </row>
    <row r="459" spans="1:7" ht="12.75" customHeight="1" x14ac:dyDescent="0.2">
      <c r="A459" s="528"/>
      <c r="B459" s="723" t="s">
        <v>655</v>
      </c>
      <c r="C459" s="692"/>
      <c r="D459" s="693"/>
      <c r="E459" s="693"/>
      <c r="F459" s="693"/>
      <c r="G459" s="724">
        <v>3029</v>
      </c>
    </row>
    <row r="460" spans="1:7" ht="12.75" customHeight="1" x14ac:dyDescent="0.2">
      <c r="A460" s="528"/>
      <c r="B460" s="723" t="s">
        <v>596</v>
      </c>
      <c r="C460" s="692"/>
      <c r="D460" s="693"/>
      <c r="E460" s="693"/>
      <c r="F460" s="693"/>
      <c r="G460" s="724" t="s">
        <v>623</v>
      </c>
    </row>
    <row r="461" spans="1:7" ht="12.75" customHeight="1" x14ac:dyDescent="0.2">
      <c r="A461" s="528"/>
      <c r="B461" s="723" t="s">
        <v>597</v>
      </c>
      <c r="C461" s="692"/>
      <c r="D461" s="693"/>
      <c r="E461" s="693"/>
      <c r="F461" s="693"/>
      <c r="G461" s="724" t="s">
        <v>624</v>
      </c>
    </row>
    <row r="462" spans="1:7" ht="12.75" customHeight="1" x14ac:dyDescent="0.2">
      <c r="A462" s="528"/>
      <c r="B462" s="723" t="s">
        <v>647</v>
      </c>
      <c r="C462" s="692"/>
      <c r="D462" s="693"/>
      <c r="E462" s="693"/>
      <c r="F462" s="693"/>
      <c r="G462" s="724">
        <v>3034</v>
      </c>
    </row>
    <row r="463" spans="1:7" ht="12.75" customHeight="1" x14ac:dyDescent="0.2">
      <c r="A463" s="528"/>
      <c r="B463" s="723" t="s">
        <v>598</v>
      </c>
      <c r="C463" s="692"/>
      <c r="D463" s="693"/>
      <c r="E463" s="693"/>
      <c r="F463" s="693"/>
      <c r="G463" s="724" t="s">
        <v>625</v>
      </c>
    </row>
    <row r="464" spans="1:7" ht="12.75" customHeight="1" x14ac:dyDescent="0.2">
      <c r="A464" s="528"/>
      <c r="B464" s="723" t="s">
        <v>599</v>
      </c>
      <c r="C464" s="692"/>
      <c r="D464" s="693"/>
      <c r="E464" s="693"/>
      <c r="F464" s="693"/>
      <c r="G464" s="724" t="s">
        <v>626</v>
      </c>
    </row>
    <row r="465" spans="1:7" ht="12.75" customHeight="1" x14ac:dyDescent="0.2">
      <c r="A465" s="528"/>
      <c r="B465" s="723" t="s">
        <v>600</v>
      </c>
      <c r="C465" s="692"/>
      <c r="D465" s="693"/>
      <c r="E465" s="693"/>
      <c r="F465" s="693"/>
      <c r="G465" s="724" t="s">
        <v>627</v>
      </c>
    </row>
    <row r="466" spans="1:7" ht="12.75" customHeight="1" x14ac:dyDescent="0.2">
      <c r="A466" s="528"/>
      <c r="B466" s="723" t="s">
        <v>601</v>
      </c>
      <c r="C466" s="692"/>
      <c r="D466" s="693"/>
      <c r="E466" s="693"/>
      <c r="F466" s="693"/>
      <c r="G466" s="724" t="s">
        <v>628</v>
      </c>
    </row>
    <row r="467" spans="1:7" ht="12.75" customHeight="1" x14ac:dyDescent="0.2">
      <c r="A467" s="528"/>
      <c r="B467" s="723" t="s">
        <v>664</v>
      </c>
      <c r="C467" s="692"/>
      <c r="D467" s="693"/>
      <c r="E467" s="693"/>
      <c r="F467" s="693"/>
      <c r="G467" s="724">
        <v>3039</v>
      </c>
    </row>
    <row r="468" spans="1:7" ht="12.75" customHeight="1" x14ac:dyDescent="0.2">
      <c r="A468" s="528"/>
      <c r="B468" s="723" t="s">
        <v>602</v>
      </c>
      <c r="C468" s="692"/>
      <c r="D468" s="693">
        <v>0</v>
      </c>
      <c r="E468" s="693"/>
      <c r="F468" s="693"/>
      <c r="G468" s="724" t="s">
        <v>629</v>
      </c>
    </row>
    <row r="469" spans="1:7" ht="12.75" customHeight="1" x14ac:dyDescent="0.2">
      <c r="A469" s="528"/>
      <c r="B469" s="723" t="s">
        <v>603</v>
      </c>
      <c r="C469" s="692"/>
      <c r="D469" s="693">
        <v>0</v>
      </c>
      <c r="E469" s="693"/>
      <c r="F469" s="693"/>
      <c r="G469" s="724" t="s">
        <v>630</v>
      </c>
    </row>
    <row r="470" spans="1:7" ht="12.75" customHeight="1" x14ac:dyDescent="0.2">
      <c r="A470" s="528"/>
      <c r="B470" s="723" t="s">
        <v>657</v>
      </c>
      <c r="C470" s="692"/>
      <c r="D470" s="693">
        <v>0</v>
      </c>
      <c r="E470" s="693"/>
      <c r="F470" s="693"/>
      <c r="G470" s="724">
        <v>3042</v>
      </c>
    </row>
    <row r="471" spans="1:7" ht="12.75" customHeight="1" x14ac:dyDescent="0.2">
      <c r="A471" s="528"/>
      <c r="B471" s="723" t="s">
        <v>604</v>
      </c>
      <c r="C471" s="692"/>
      <c r="D471" s="693"/>
      <c r="E471" s="693"/>
      <c r="F471" s="693"/>
      <c r="G471" s="724" t="s">
        <v>631</v>
      </c>
    </row>
    <row r="472" spans="1:7" ht="12.75" customHeight="1" x14ac:dyDescent="0.2">
      <c r="A472" s="528"/>
      <c r="B472" s="723" t="s">
        <v>605</v>
      </c>
      <c r="C472" s="692"/>
      <c r="D472" s="693"/>
      <c r="E472" s="693"/>
      <c r="F472" s="693"/>
      <c r="G472" s="724" t="s">
        <v>632</v>
      </c>
    </row>
    <row r="473" spans="1:7" ht="12.75" customHeight="1" x14ac:dyDescent="0.2">
      <c r="A473" s="528"/>
      <c r="B473" s="723" t="s">
        <v>606</v>
      </c>
      <c r="C473" s="692"/>
      <c r="D473" s="693"/>
      <c r="E473" s="693"/>
      <c r="F473" s="693"/>
      <c r="G473" s="724" t="s">
        <v>633</v>
      </c>
    </row>
    <row r="474" spans="1:7" ht="12.75" customHeight="1" x14ac:dyDescent="0.2">
      <c r="A474" s="528"/>
      <c r="B474" s="723" t="s">
        <v>648</v>
      </c>
      <c r="C474" s="692"/>
      <c r="D474" s="693"/>
      <c r="E474" s="693"/>
      <c r="F474" s="693"/>
      <c r="G474" s="724">
        <v>3048</v>
      </c>
    </row>
    <row r="475" spans="1:7" ht="12.75" customHeight="1" x14ac:dyDescent="0.2">
      <c r="A475" s="528"/>
      <c r="B475" s="723" t="s">
        <v>607</v>
      </c>
      <c r="C475" s="692"/>
      <c r="D475" s="693"/>
      <c r="E475" s="693"/>
      <c r="F475" s="693"/>
      <c r="G475" s="724" t="s">
        <v>634</v>
      </c>
    </row>
    <row r="476" spans="1:7" ht="12.75" customHeight="1" x14ac:dyDescent="0.2">
      <c r="A476" s="528"/>
      <c r="B476" s="723" t="s">
        <v>608</v>
      </c>
      <c r="C476" s="692"/>
      <c r="D476" s="693"/>
      <c r="E476" s="693"/>
      <c r="F476" s="693"/>
      <c r="G476" s="724" t="s">
        <v>635</v>
      </c>
    </row>
    <row r="477" spans="1:7" ht="12.75" customHeight="1" x14ac:dyDescent="0.2">
      <c r="A477" s="528"/>
      <c r="B477" s="723" t="s">
        <v>651</v>
      </c>
      <c r="C477" s="692"/>
      <c r="D477" s="693"/>
      <c r="E477" s="693"/>
      <c r="F477" s="693"/>
      <c r="G477" s="724">
        <v>3051</v>
      </c>
    </row>
    <row r="478" spans="1:7" ht="12.75" customHeight="1" x14ac:dyDescent="0.2">
      <c r="A478" s="528"/>
      <c r="B478" s="723" t="s">
        <v>609</v>
      </c>
      <c r="C478" s="692"/>
      <c r="D478" s="693"/>
      <c r="E478" s="693"/>
      <c r="F478" s="693"/>
      <c r="G478" s="724" t="s">
        <v>636</v>
      </c>
    </row>
    <row r="479" spans="1:7" ht="12.75" customHeight="1" x14ac:dyDescent="0.2">
      <c r="A479" s="528"/>
      <c r="B479" s="723" t="s">
        <v>652</v>
      </c>
      <c r="C479" s="692"/>
      <c r="D479" s="693"/>
      <c r="E479" s="693"/>
      <c r="F479" s="693"/>
      <c r="G479" s="724">
        <v>3056</v>
      </c>
    </row>
    <row r="480" spans="1:7" ht="12.75" customHeight="1" x14ac:dyDescent="0.2">
      <c r="A480" s="528"/>
      <c r="B480" s="723" t="s">
        <v>610</v>
      </c>
      <c r="C480" s="692"/>
      <c r="D480" s="693"/>
      <c r="E480" s="693"/>
      <c r="F480" s="693"/>
      <c r="G480" s="724">
        <v>3057</v>
      </c>
    </row>
    <row r="481" spans="1:8" ht="12.75" customHeight="1" x14ac:dyDescent="0.2">
      <c r="A481" s="528"/>
      <c r="B481" s="723" t="s">
        <v>611</v>
      </c>
      <c r="C481" s="692"/>
      <c r="D481" s="693"/>
      <c r="E481" s="693"/>
      <c r="F481" s="693"/>
      <c r="G481" s="724" t="s">
        <v>638</v>
      </c>
    </row>
    <row r="482" spans="1:8" ht="12.75" customHeight="1" x14ac:dyDescent="0.2">
      <c r="A482" s="528"/>
      <c r="B482" s="723" t="s">
        <v>612</v>
      </c>
      <c r="C482" s="692"/>
      <c r="D482" s="693"/>
      <c r="E482" s="693"/>
      <c r="F482" s="693"/>
      <c r="G482" s="724" t="s">
        <v>639</v>
      </c>
    </row>
    <row r="483" spans="1:8" ht="12.75" customHeight="1" x14ac:dyDescent="0.2">
      <c r="A483" s="528"/>
      <c r="B483" s="723" t="s">
        <v>649</v>
      </c>
      <c r="C483" s="692"/>
      <c r="D483" s="693"/>
      <c r="E483" s="693"/>
      <c r="F483" s="693"/>
      <c r="G483" s="724">
        <v>3061</v>
      </c>
    </row>
    <row r="484" spans="1:8" ht="12.75" customHeight="1" x14ac:dyDescent="0.2">
      <c r="A484" s="528"/>
      <c r="B484" s="723" t="s">
        <v>658</v>
      </c>
      <c r="C484" s="692"/>
      <c r="D484" s="693">
        <v>0</v>
      </c>
      <c r="E484" s="693"/>
      <c r="F484" s="693"/>
      <c r="G484" s="724">
        <v>3063</v>
      </c>
    </row>
    <row r="485" spans="1:8" ht="12.75" customHeight="1" x14ac:dyDescent="0.2">
      <c r="A485" s="528"/>
      <c r="B485" s="723" t="s">
        <v>613</v>
      </c>
      <c r="C485" s="692"/>
      <c r="D485" s="693">
        <v>0</v>
      </c>
      <c r="E485" s="693"/>
      <c r="F485" s="693"/>
      <c r="G485" s="724" t="s">
        <v>640</v>
      </c>
    </row>
    <row r="486" spans="1:8" ht="12.75" customHeight="1" x14ac:dyDescent="0.2">
      <c r="A486" s="528"/>
      <c r="B486" s="723" t="s">
        <v>614</v>
      </c>
      <c r="C486" s="692"/>
      <c r="D486" s="693">
        <v>0</v>
      </c>
      <c r="E486" s="693"/>
      <c r="F486" s="693"/>
      <c r="G486" s="724" t="s">
        <v>641</v>
      </c>
    </row>
    <row r="487" spans="1:8" ht="12.75" customHeight="1" x14ac:dyDescent="0.2">
      <c r="A487" s="528"/>
      <c r="B487" s="723" t="s">
        <v>615</v>
      </c>
      <c r="C487" s="692"/>
      <c r="D487" s="693"/>
      <c r="E487" s="693"/>
      <c r="F487" s="693"/>
      <c r="G487" s="724" t="s">
        <v>642</v>
      </c>
      <c r="H487" s="695"/>
    </row>
    <row r="488" spans="1:8" ht="12.75" customHeight="1" x14ac:dyDescent="0.2">
      <c r="A488" s="528"/>
      <c r="B488" s="723" t="s">
        <v>616</v>
      </c>
      <c r="C488" s="692"/>
      <c r="D488" s="693">
        <v>0</v>
      </c>
      <c r="E488" s="693"/>
      <c r="F488" s="693"/>
      <c r="G488" s="724">
        <v>3068</v>
      </c>
      <c r="H488" s="695"/>
    </row>
    <row r="489" spans="1:8" ht="12.75" customHeight="1" x14ac:dyDescent="0.2">
      <c r="A489" s="528"/>
      <c r="B489" s="723" t="s">
        <v>617</v>
      </c>
      <c r="C489" s="692"/>
      <c r="D489" s="693"/>
      <c r="E489" s="693"/>
      <c r="F489" s="693"/>
      <c r="G489" s="724">
        <v>3069</v>
      </c>
      <c r="H489" s="695"/>
    </row>
    <row r="490" spans="1:8" ht="12.75" customHeight="1" x14ac:dyDescent="0.2">
      <c r="A490" s="528"/>
      <c r="B490" s="723" t="s">
        <v>653</v>
      </c>
      <c r="C490" s="692"/>
      <c r="D490" s="693">
        <v>0</v>
      </c>
      <c r="E490" s="693"/>
      <c r="F490" s="693"/>
      <c r="G490" s="724">
        <v>3073</v>
      </c>
    </row>
    <row r="491" spans="1:8" ht="12.75" customHeight="1" x14ac:dyDescent="0.2">
      <c r="A491" s="528"/>
      <c r="B491" s="726" t="s">
        <v>303</v>
      </c>
      <c r="D491" s="693">
        <v>338303.79</v>
      </c>
      <c r="E491" s="725">
        <f>SUM(D491)</f>
        <v>338303.79</v>
      </c>
      <c r="F491" s="693"/>
      <c r="G491" s="683">
        <v>3001</v>
      </c>
      <c r="H491" s="695"/>
    </row>
    <row r="492" spans="1:8" ht="12.75" customHeight="1" x14ac:dyDescent="0.2">
      <c r="A492" s="528"/>
      <c r="B492" s="727" t="s">
        <v>439</v>
      </c>
      <c r="C492" s="697"/>
      <c r="D492" s="693"/>
      <c r="E492" s="725">
        <f>SUM(D493:D498)</f>
        <v>1480570.15</v>
      </c>
      <c r="F492" s="693"/>
    </row>
    <row r="493" spans="1:8" ht="12.75" customHeight="1" x14ac:dyDescent="0.2">
      <c r="A493" s="528"/>
      <c r="B493" s="694"/>
      <c r="C493" s="696" t="s">
        <v>304</v>
      </c>
      <c r="D493" s="693">
        <v>123934.26</v>
      </c>
      <c r="E493" s="693"/>
      <c r="F493" s="693"/>
      <c r="G493" s="683">
        <v>4000</v>
      </c>
    </row>
    <row r="494" spans="1:8" ht="12.75" customHeight="1" x14ac:dyDescent="0.2">
      <c r="A494" s="528"/>
      <c r="B494" s="694"/>
      <c r="C494" s="696" t="s">
        <v>305</v>
      </c>
      <c r="D494" s="693">
        <v>0</v>
      </c>
      <c r="E494" s="693"/>
      <c r="F494" s="693"/>
      <c r="G494" s="683">
        <v>4001</v>
      </c>
    </row>
    <row r="495" spans="1:8" ht="12.75" customHeight="1" x14ac:dyDescent="0.2">
      <c r="A495" s="528"/>
      <c r="B495" s="694"/>
      <c r="C495" s="696" t="s">
        <v>306</v>
      </c>
      <c r="D495" s="693">
        <v>1047410.11</v>
      </c>
      <c r="E495" s="693"/>
      <c r="F495" s="693"/>
    </row>
    <row r="496" spans="1:8" ht="12.75" customHeight="1" x14ac:dyDescent="0.2">
      <c r="A496" s="528"/>
      <c r="B496" s="694"/>
      <c r="C496" s="696" t="s">
        <v>307</v>
      </c>
      <c r="D496" s="693">
        <v>8087.07</v>
      </c>
      <c r="E496" s="693"/>
      <c r="F496" s="693"/>
    </row>
    <row r="497" spans="1:9" ht="12.75" customHeight="1" x14ac:dyDescent="0.2">
      <c r="A497" s="528"/>
      <c r="B497" s="694"/>
      <c r="C497" s="697" t="s">
        <v>308</v>
      </c>
      <c r="D497" s="693">
        <v>63031.040000000001</v>
      </c>
      <c r="E497" s="693"/>
      <c r="F497" s="693"/>
    </row>
    <row r="498" spans="1:9" ht="12.75" customHeight="1" x14ac:dyDescent="0.2">
      <c r="A498" s="528"/>
      <c r="B498" s="694"/>
      <c r="C498" s="697" t="s">
        <v>121</v>
      </c>
      <c r="D498" s="693">
        <v>238107.67</v>
      </c>
      <c r="E498" s="693"/>
      <c r="F498" s="693"/>
    </row>
    <row r="499" spans="1:9" ht="12.75" customHeight="1" x14ac:dyDescent="0.2">
      <c r="A499" s="698"/>
      <c r="B499" s="699" t="s">
        <v>309</v>
      </c>
      <c r="C499" s="730"/>
      <c r="D499" s="693">
        <v>0</v>
      </c>
      <c r="E499" s="701"/>
      <c r="F499" s="701"/>
    </row>
    <row r="500" spans="1:9" ht="12.75" customHeight="1" x14ac:dyDescent="0.2">
      <c r="A500" s="698"/>
      <c r="B500" s="729" t="s">
        <v>310</v>
      </c>
      <c r="D500" s="693">
        <v>0</v>
      </c>
      <c r="E500" s="728">
        <f>D500</f>
        <v>0</v>
      </c>
      <c r="F500" s="701"/>
      <c r="G500" s="683">
        <v>5000</v>
      </c>
      <c r="H500" s="784">
        <v>947611.21</v>
      </c>
      <c r="I500" s="683" t="s">
        <v>954</v>
      </c>
    </row>
    <row r="501" spans="1:9" ht="12.75" customHeight="1" thickBot="1" x14ac:dyDescent="0.25">
      <c r="A501" s="702"/>
      <c r="B501" s="703"/>
      <c r="C501" s="704"/>
      <c r="D501" s="705"/>
      <c r="E501" s="706"/>
      <c r="F501" s="731">
        <f>SUM(E448:E500)-H500</f>
        <v>3601955.49</v>
      </c>
      <c r="H501" s="707">
        <f>'Sched-B1'!B13+'Sched-B2'!E173+'Sched-D1'!F501-22159977.38-1188394.39-H500</f>
        <v>-1895222.4199999964</v>
      </c>
    </row>
    <row r="502" spans="1:9" ht="12.75" customHeight="1" x14ac:dyDescent="0.2">
      <c r="A502" s="688" t="s">
        <v>660</v>
      </c>
      <c r="B502" s="907" t="s">
        <v>860</v>
      </c>
      <c r="C502" s="689"/>
      <c r="D502" s="690"/>
      <c r="E502" s="691">
        <f>29395.35+764.5</f>
        <v>30159.85</v>
      </c>
      <c r="F502" s="691"/>
      <c r="G502" s="649" t="s">
        <v>862</v>
      </c>
    </row>
    <row r="503" spans="1:9" ht="12.75" customHeight="1" x14ac:dyDescent="0.2">
      <c r="A503" s="528"/>
      <c r="B503" s="721" t="s">
        <v>590</v>
      </c>
      <c r="C503" s="692"/>
      <c r="D503" s="693">
        <v>390322.27</v>
      </c>
      <c r="E503" s="725">
        <f>SUM(D503:D544)</f>
        <v>1403350.44</v>
      </c>
      <c r="F503" s="693"/>
    </row>
    <row r="504" spans="1:9" ht="12.75" customHeight="1" x14ac:dyDescent="0.2">
      <c r="A504" s="528"/>
      <c r="B504" s="723" t="s">
        <v>591</v>
      </c>
      <c r="C504" s="692"/>
      <c r="D504" s="693"/>
      <c r="E504" s="693"/>
      <c r="F504" s="693"/>
      <c r="G504" s="724" t="s">
        <v>618</v>
      </c>
    </row>
    <row r="505" spans="1:9" ht="12.75" customHeight="1" x14ac:dyDescent="0.2">
      <c r="A505" s="528"/>
      <c r="B505" s="723" t="s">
        <v>592</v>
      </c>
      <c r="C505" s="692"/>
      <c r="D505" s="693"/>
      <c r="E505" s="693"/>
      <c r="F505" s="693"/>
      <c r="G505" s="724" t="s">
        <v>619</v>
      </c>
    </row>
    <row r="506" spans="1:9" ht="12.75" customHeight="1" x14ac:dyDescent="0.2">
      <c r="A506" s="528"/>
      <c r="B506" s="723" t="s">
        <v>650</v>
      </c>
      <c r="C506" s="692"/>
      <c r="D506" s="693"/>
      <c r="E506" s="693"/>
      <c r="F506" s="693"/>
      <c r="G506" s="724">
        <v>3003</v>
      </c>
    </row>
    <row r="507" spans="1:9" ht="12.75" customHeight="1" x14ac:dyDescent="0.2">
      <c r="A507" s="528"/>
      <c r="B507" s="723" t="s">
        <v>593</v>
      </c>
      <c r="C507" s="692"/>
      <c r="D507" s="693"/>
      <c r="E507" s="693"/>
      <c r="F507" s="693"/>
      <c r="G507" s="724" t="s">
        <v>620</v>
      </c>
    </row>
    <row r="508" spans="1:9" ht="12.75" customHeight="1" x14ac:dyDescent="0.2">
      <c r="A508" s="528"/>
      <c r="B508" s="723" t="s">
        <v>661</v>
      </c>
      <c r="C508" s="692"/>
      <c r="D508" s="693"/>
      <c r="E508" s="693"/>
      <c r="F508" s="693"/>
      <c r="G508" s="724">
        <v>3014</v>
      </c>
    </row>
    <row r="509" spans="1:9" ht="12.75" customHeight="1" x14ac:dyDescent="0.2">
      <c r="A509" s="528"/>
      <c r="B509" s="723" t="s">
        <v>594</v>
      </c>
      <c r="C509" s="692"/>
      <c r="D509" s="693"/>
      <c r="E509" s="693"/>
      <c r="F509" s="693"/>
      <c r="G509" s="724" t="s">
        <v>621</v>
      </c>
    </row>
    <row r="510" spans="1:9" ht="12.75" customHeight="1" x14ac:dyDescent="0.2">
      <c r="A510" s="528"/>
      <c r="B510" s="723" t="s">
        <v>595</v>
      </c>
      <c r="C510" s="692"/>
      <c r="D510" s="693"/>
      <c r="E510" s="693"/>
      <c r="F510" s="693"/>
      <c r="G510" s="724" t="s">
        <v>622</v>
      </c>
    </row>
    <row r="511" spans="1:9" ht="12.75" customHeight="1" x14ac:dyDescent="0.2">
      <c r="A511" s="528"/>
      <c r="B511" s="733" t="s">
        <v>50</v>
      </c>
      <c r="C511" s="692"/>
      <c r="D511" s="693">
        <v>1013028.17</v>
      </c>
      <c r="E511" s="693"/>
      <c r="F511" s="693"/>
      <c r="G511" s="724"/>
    </row>
    <row r="512" spans="1:9" ht="12.75" customHeight="1" x14ac:dyDescent="0.2">
      <c r="A512" s="528"/>
      <c r="B512" s="723" t="s">
        <v>665</v>
      </c>
      <c r="C512" s="692"/>
      <c r="D512" s="693"/>
      <c r="E512" s="693"/>
      <c r="F512" s="693"/>
      <c r="G512" s="724">
        <v>3027</v>
      </c>
    </row>
    <row r="513" spans="1:7" ht="12.75" customHeight="1" x14ac:dyDescent="0.2">
      <c r="A513" s="528"/>
      <c r="B513" s="723" t="s">
        <v>655</v>
      </c>
      <c r="C513" s="692"/>
      <c r="D513" s="693"/>
      <c r="E513" s="693"/>
      <c r="F513" s="693"/>
      <c r="G513" s="724">
        <v>3029</v>
      </c>
    </row>
    <row r="514" spans="1:7" ht="12.75" customHeight="1" x14ac:dyDescent="0.2">
      <c r="A514" s="528"/>
      <c r="B514" s="723" t="s">
        <v>596</v>
      </c>
      <c r="C514" s="692"/>
      <c r="D514" s="693"/>
      <c r="E514" s="693"/>
      <c r="F514" s="693"/>
      <c r="G514" s="724" t="s">
        <v>623</v>
      </c>
    </row>
    <row r="515" spans="1:7" ht="12.75" customHeight="1" x14ac:dyDescent="0.2">
      <c r="A515" s="528"/>
      <c r="B515" s="723" t="s">
        <v>597</v>
      </c>
      <c r="C515" s="692"/>
      <c r="D515" s="693"/>
      <c r="E515" s="693"/>
      <c r="F515" s="693"/>
      <c r="G515" s="724" t="s">
        <v>624</v>
      </c>
    </row>
    <row r="516" spans="1:7" ht="12.75" customHeight="1" x14ac:dyDescent="0.2">
      <c r="A516" s="528"/>
      <c r="B516" s="723" t="s">
        <v>647</v>
      </c>
      <c r="C516" s="692"/>
      <c r="D516" s="693"/>
      <c r="E516" s="693"/>
      <c r="F516" s="693"/>
      <c r="G516" s="724">
        <v>3034</v>
      </c>
    </row>
    <row r="517" spans="1:7" ht="12.75" customHeight="1" x14ac:dyDescent="0.2">
      <c r="A517" s="528"/>
      <c r="B517" s="723" t="s">
        <v>598</v>
      </c>
      <c r="C517" s="692"/>
      <c r="D517" s="693"/>
      <c r="E517" s="693"/>
      <c r="F517" s="693"/>
      <c r="G517" s="724" t="s">
        <v>625</v>
      </c>
    </row>
    <row r="518" spans="1:7" ht="12.75" customHeight="1" x14ac:dyDescent="0.2">
      <c r="A518" s="528"/>
      <c r="B518" s="723" t="s">
        <v>599</v>
      </c>
      <c r="C518" s="692"/>
      <c r="D518" s="693"/>
      <c r="E518" s="693"/>
      <c r="F518" s="693"/>
      <c r="G518" s="724" t="s">
        <v>626</v>
      </c>
    </row>
    <row r="519" spans="1:7" ht="12.75" customHeight="1" x14ac:dyDescent="0.2">
      <c r="A519" s="528"/>
      <c r="B519" s="723" t="s">
        <v>600</v>
      </c>
      <c r="C519" s="692"/>
      <c r="D519" s="693"/>
      <c r="E519" s="693"/>
      <c r="F519" s="693"/>
      <c r="G519" s="724" t="s">
        <v>627</v>
      </c>
    </row>
    <row r="520" spans="1:7" ht="12.75" customHeight="1" x14ac:dyDescent="0.2">
      <c r="A520" s="528"/>
      <c r="B520" s="723" t="s">
        <v>601</v>
      </c>
      <c r="C520" s="692"/>
      <c r="D520" s="693"/>
      <c r="E520" s="693"/>
      <c r="F520" s="693"/>
      <c r="G520" s="724" t="s">
        <v>628</v>
      </c>
    </row>
    <row r="521" spans="1:7" ht="12.75" customHeight="1" x14ac:dyDescent="0.2">
      <c r="A521" s="528"/>
      <c r="B521" s="723" t="s">
        <v>602</v>
      </c>
      <c r="C521" s="692"/>
      <c r="D521" s="693"/>
      <c r="E521" s="693"/>
      <c r="F521" s="693"/>
      <c r="G521" s="724" t="s">
        <v>629</v>
      </c>
    </row>
    <row r="522" spans="1:7" ht="12.75" customHeight="1" x14ac:dyDescent="0.2">
      <c r="A522" s="528"/>
      <c r="B522" s="723" t="s">
        <v>603</v>
      </c>
      <c r="C522" s="692"/>
      <c r="D522" s="693"/>
      <c r="E522" s="693"/>
      <c r="F522" s="693"/>
      <c r="G522" s="724" t="s">
        <v>630</v>
      </c>
    </row>
    <row r="523" spans="1:7" ht="12.75" customHeight="1" x14ac:dyDescent="0.2">
      <c r="A523" s="528"/>
      <c r="B523" s="723" t="s">
        <v>657</v>
      </c>
      <c r="C523" s="692"/>
      <c r="D523" s="693"/>
      <c r="E523" s="693"/>
      <c r="F523" s="693"/>
      <c r="G523" s="724">
        <v>3042</v>
      </c>
    </row>
    <row r="524" spans="1:7" ht="12.75" customHeight="1" x14ac:dyDescent="0.2">
      <c r="A524" s="528"/>
      <c r="B524" s="723" t="s">
        <v>604</v>
      </c>
      <c r="C524" s="692"/>
      <c r="D524" s="693"/>
      <c r="E524" s="693"/>
      <c r="F524" s="693"/>
      <c r="G524" s="724" t="s">
        <v>631</v>
      </c>
    </row>
    <row r="525" spans="1:7" ht="12.75" customHeight="1" x14ac:dyDescent="0.2">
      <c r="A525" s="528"/>
      <c r="B525" s="723" t="s">
        <v>605</v>
      </c>
      <c r="C525" s="692"/>
      <c r="D525" s="693"/>
      <c r="E525" s="693"/>
      <c r="F525" s="693"/>
      <c r="G525" s="724" t="s">
        <v>632</v>
      </c>
    </row>
    <row r="526" spans="1:7" ht="12.75" customHeight="1" x14ac:dyDescent="0.2">
      <c r="A526" s="528"/>
      <c r="B526" s="723" t="s">
        <v>606</v>
      </c>
      <c r="C526" s="692"/>
      <c r="D526" s="693"/>
      <c r="E526" s="693"/>
      <c r="F526" s="693"/>
      <c r="G526" s="724" t="s">
        <v>633</v>
      </c>
    </row>
    <row r="527" spans="1:7" ht="12.75" customHeight="1" x14ac:dyDescent="0.2">
      <c r="A527" s="528"/>
      <c r="B527" s="723" t="s">
        <v>648</v>
      </c>
      <c r="C527" s="692"/>
      <c r="D527" s="693"/>
      <c r="E527" s="693"/>
      <c r="F527" s="693"/>
      <c r="G527" s="724">
        <v>3048</v>
      </c>
    </row>
    <row r="528" spans="1:7" ht="12.75" customHeight="1" x14ac:dyDescent="0.2">
      <c r="A528" s="528"/>
      <c r="B528" s="723" t="s">
        <v>607</v>
      </c>
      <c r="C528" s="692"/>
      <c r="D528" s="693"/>
      <c r="E528" s="693"/>
      <c r="F528" s="693"/>
      <c r="G528" s="724" t="s">
        <v>634</v>
      </c>
    </row>
    <row r="529" spans="1:8" ht="12.75" customHeight="1" x14ac:dyDescent="0.2">
      <c r="A529" s="528"/>
      <c r="B529" s="723" t="s">
        <v>608</v>
      </c>
      <c r="C529" s="692"/>
      <c r="D529" s="693"/>
      <c r="E529" s="693"/>
      <c r="F529" s="693"/>
      <c r="G529" s="724" t="s">
        <v>635</v>
      </c>
    </row>
    <row r="530" spans="1:8" ht="12.75" customHeight="1" x14ac:dyDescent="0.2">
      <c r="A530" s="528"/>
      <c r="B530" s="723" t="s">
        <v>651</v>
      </c>
      <c r="C530" s="692"/>
      <c r="D530" s="693"/>
      <c r="E530" s="693"/>
      <c r="F530" s="693"/>
      <c r="G530" s="724">
        <v>3051</v>
      </c>
    </row>
    <row r="531" spans="1:8" ht="12.75" customHeight="1" x14ac:dyDescent="0.2">
      <c r="A531" s="528"/>
      <c r="B531" s="723" t="s">
        <v>609</v>
      </c>
      <c r="C531" s="692"/>
      <c r="D531" s="693"/>
      <c r="E531" s="693"/>
      <c r="F531" s="693"/>
      <c r="G531" s="724" t="s">
        <v>636</v>
      </c>
    </row>
    <row r="532" spans="1:8" ht="12.75" customHeight="1" x14ac:dyDescent="0.2">
      <c r="A532" s="528"/>
      <c r="B532" s="723" t="s">
        <v>652</v>
      </c>
      <c r="C532" s="692"/>
      <c r="D532" s="693"/>
      <c r="E532" s="693"/>
      <c r="F532" s="693"/>
      <c r="G532" s="724">
        <v>3056</v>
      </c>
    </row>
    <row r="533" spans="1:8" ht="12.75" customHeight="1" x14ac:dyDescent="0.2">
      <c r="A533" s="528"/>
      <c r="B533" s="723" t="s">
        <v>610</v>
      </c>
      <c r="C533" s="692"/>
      <c r="D533" s="693"/>
      <c r="E533" s="693"/>
      <c r="F533" s="693"/>
      <c r="G533" s="724">
        <v>3057</v>
      </c>
    </row>
    <row r="534" spans="1:8" ht="12.75" customHeight="1" x14ac:dyDescent="0.2">
      <c r="A534" s="528"/>
      <c r="B534" s="723" t="s">
        <v>611</v>
      </c>
      <c r="C534" s="692"/>
      <c r="D534" s="693"/>
      <c r="E534" s="693"/>
      <c r="F534" s="693"/>
      <c r="G534" s="724" t="s">
        <v>638</v>
      </c>
    </row>
    <row r="535" spans="1:8" ht="12.75" customHeight="1" x14ac:dyDescent="0.2">
      <c r="A535" s="528"/>
      <c r="B535" s="723" t="s">
        <v>612</v>
      </c>
      <c r="C535" s="692"/>
      <c r="D535" s="693"/>
      <c r="E535" s="693"/>
      <c r="F535" s="693"/>
      <c r="G535" s="724" t="s">
        <v>639</v>
      </c>
    </row>
    <row r="536" spans="1:8" ht="12.75" customHeight="1" x14ac:dyDescent="0.2">
      <c r="A536" s="528"/>
      <c r="B536" s="723" t="s">
        <v>649</v>
      </c>
      <c r="C536" s="692"/>
      <c r="D536" s="693"/>
      <c r="E536" s="693"/>
      <c r="F536" s="693"/>
      <c r="G536" s="724">
        <v>3061</v>
      </c>
    </row>
    <row r="537" spans="1:8" ht="12.75" customHeight="1" x14ac:dyDescent="0.2">
      <c r="A537" s="528"/>
      <c r="B537" s="723" t="s">
        <v>658</v>
      </c>
      <c r="C537" s="692"/>
      <c r="D537" s="693">
        <v>0</v>
      </c>
      <c r="E537" s="693"/>
      <c r="F537" s="693"/>
      <c r="G537" s="724">
        <v>3063</v>
      </c>
    </row>
    <row r="538" spans="1:8" ht="12.75" customHeight="1" x14ac:dyDescent="0.2">
      <c r="A538" s="528"/>
      <c r="B538" s="723" t="s">
        <v>613</v>
      </c>
      <c r="C538" s="692"/>
      <c r="D538" s="693">
        <v>0</v>
      </c>
      <c r="E538" s="693"/>
      <c r="F538" s="693"/>
      <c r="G538" s="724" t="s">
        <v>640</v>
      </c>
    </row>
    <row r="539" spans="1:8" ht="12.75" customHeight="1" x14ac:dyDescent="0.2">
      <c r="A539" s="528"/>
      <c r="B539" s="723" t="s">
        <v>662</v>
      </c>
      <c r="C539" s="692"/>
      <c r="D539" s="693"/>
      <c r="E539" s="693"/>
      <c r="F539" s="693"/>
      <c r="G539" s="724">
        <v>3065</v>
      </c>
    </row>
    <row r="540" spans="1:8" ht="12.75" customHeight="1" x14ac:dyDescent="0.2">
      <c r="A540" s="528"/>
      <c r="B540" s="723" t="s">
        <v>614</v>
      </c>
      <c r="C540" s="692"/>
      <c r="D540" s="693"/>
      <c r="E540" s="693"/>
      <c r="F540" s="693"/>
      <c r="G540" s="724">
        <v>3066</v>
      </c>
    </row>
    <row r="541" spans="1:8" ht="12.75" customHeight="1" x14ac:dyDescent="0.2">
      <c r="A541" s="528"/>
      <c r="B541" s="723" t="s">
        <v>615</v>
      </c>
      <c r="C541" s="692"/>
      <c r="D541" s="693"/>
      <c r="E541" s="693"/>
      <c r="F541" s="693"/>
      <c r="G541" s="724" t="s">
        <v>642</v>
      </c>
      <c r="H541" s="695"/>
    </row>
    <row r="542" spans="1:8" ht="12.75" customHeight="1" x14ac:dyDescent="0.2">
      <c r="A542" s="528"/>
      <c r="B542" s="723" t="s">
        <v>616</v>
      </c>
      <c r="C542" s="692"/>
      <c r="D542" s="693"/>
      <c r="E542" s="693"/>
      <c r="F542" s="693"/>
      <c r="G542" s="724">
        <v>3068</v>
      </c>
      <c r="H542" s="695"/>
    </row>
    <row r="543" spans="1:8" ht="12.75" customHeight="1" x14ac:dyDescent="0.2">
      <c r="A543" s="528"/>
      <c r="B543" s="723" t="s">
        <v>617</v>
      </c>
      <c r="C543" s="692"/>
      <c r="D543" s="693"/>
      <c r="E543" s="693"/>
      <c r="F543" s="693"/>
      <c r="G543" s="724">
        <v>3069</v>
      </c>
      <c r="H543" s="695"/>
    </row>
    <row r="544" spans="1:8" ht="12.75" customHeight="1" x14ac:dyDescent="0.2">
      <c r="A544" s="528"/>
      <c r="B544" s="723" t="s">
        <v>653</v>
      </c>
      <c r="C544" s="692"/>
      <c r="D544" s="693"/>
      <c r="E544" s="693"/>
      <c r="F544" s="693"/>
      <c r="G544" s="724">
        <v>3073</v>
      </c>
    </row>
    <row r="545" spans="1:8" ht="12.75" customHeight="1" x14ac:dyDescent="0.2">
      <c r="A545" s="528"/>
      <c r="B545" s="726" t="s">
        <v>303</v>
      </c>
      <c r="D545" s="693">
        <v>241558.49</v>
      </c>
      <c r="E545" s="725">
        <f>SUM(D545)</f>
        <v>241558.49</v>
      </c>
      <c r="F545" s="693"/>
      <c r="G545" s="683">
        <v>3001</v>
      </c>
      <c r="H545" s="695"/>
    </row>
    <row r="546" spans="1:8" ht="12.75" customHeight="1" x14ac:dyDescent="0.2">
      <c r="A546" s="528"/>
      <c r="B546" s="727" t="s">
        <v>439</v>
      </c>
      <c r="C546" s="697"/>
      <c r="D546" s="693"/>
      <c r="E546" s="725">
        <f>SUM(D547:D552)</f>
        <v>1312737.08</v>
      </c>
      <c r="F546" s="693"/>
    </row>
    <row r="547" spans="1:8" ht="12.75" customHeight="1" x14ac:dyDescent="0.2">
      <c r="A547" s="528"/>
      <c r="B547" s="694"/>
      <c r="C547" s="696" t="s">
        <v>304</v>
      </c>
      <c r="D547" s="693">
        <v>97716.34</v>
      </c>
      <c r="E547" s="693"/>
      <c r="F547" s="693"/>
      <c r="G547" s="683">
        <v>4000</v>
      </c>
    </row>
    <row r="548" spans="1:8" ht="12.75" customHeight="1" x14ac:dyDescent="0.2">
      <c r="A548" s="528"/>
      <c r="B548" s="694"/>
      <c r="C548" s="696" t="s">
        <v>305</v>
      </c>
      <c r="D548" s="693">
        <v>4993.4799999999996</v>
      </c>
      <c r="E548" s="693"/>
      <c r="F548" s="693"/>
      <c r="G548" s="683">
        <v>4001</v>
      </c>
    </row>
    <row r="549" spans="1:8" ht="12.75" customHeight="1" x14ac:dyDescent="0.2">
      <c r="A549" s="528"/>
      <c r="B549" s="694"/>
      <c r="C549" s="696" t="s">
        <v>306</v>
      </c>
      <c r="D549" s="693">
        <v>943824.76</v>
      </c>
      <c r="E549" s="693"/>
      <c r="F549" s="693"/>
    </row>
    <row r="550" spans="1:8" ht="12.75" customHeight="1" x14ac:dyDescent="0.2">
      <c r="A550" s="528"/>
      <c r="B550" s="694"/>
      <c r="C550" s="696" t="s">
        <v>307</v>
      </c>
      <c r="D550" s="693">
        <v>11917.99</v>
      </c>
      <c r="E550" s="693"/>
      <c r="F550" s="693"/>
    </row>
    <row r="551" spans="1:8" ht="12.75" customHeight="1" x14ac:dyDescent="0.2">
      <c r="A551" s="528"/>
      <c r="B551" s="694"/>
      <c r="C551" s="697" t="s">
        <v>308</v>
      </c>
      <c r="D551" s="693">
        <v>39948.379999999997</v>
      </c>
      <c r="E551" s="693"/>
      <c r="F551" s="693"/>
    </row>
    <row r="552" spans="1:8" ht="12.75" customHeight="1" x14ac:dyDescent="0.2">
      <c r="A552" s="528"/>
      <c r="B552" s="694"/>
      <c r="C552" s="697" t="s">
        <v>121</v>
      </c>
      <c r="D552" s="693">
        <v>214336.13</v>
      </c>
      <c r="E552" s="693"/>
      <c r="F552" s="693"/>
    </row>
    <row r="553" spans="1:8" ht="12.75" customHeight="1" x14ac:dyDescent="0.2">
      <c r="A553" s="698"/>
      <c r="B553" s="699" t="s">
        <v>309</v>
      </c>
      <c r="C553" s="730"/>
      <c r="D553" s="693">
        <v>0</v>
      </c>
      <c r="E553" s="701"/>
      <c r="F553" s="701"/>
    </row>
    <row r="554" spans="1:8" ht="12.75" customHeight="1" x14ac:dyDescent="0.2">
      <c r="A554" s="698"/>
      <c r="B554" s="729" t="s">
        <v>310</v>
      </c>
      <c r="D554" s="693"/>
      <c r="E554" s="728">
        <f>D554</f>
        <v>0</v>
      </c>
      <c r="F554" s="701"/>
      <c r="G554" s="683">
        <v>5000</v>
      </c>
    </row>
    <row r="555" spans="1:8" ht="12.75" customHeight="1" thickBot="1" x14ac:dyDescent="0.25">
      <c r="A555" s="702"/>
      <c r="B555" s="703"/>
      <c r="C555" s="704"/>
      <c r="D555" s="705"/>
      <c r="E555" s="706"/>
      <c r="F555" s="731">
        <f>SUM(E502:E554)</f>
        <v>2987805.8600000003</v>
      </c>
      <c r="H555" s="707">
        <f>'Sched-B1'!B14+'Sched-B2'!E190+'Sched-D1'!F555-14493303.04-1013028.17</f>
        <v>1.7462298274040222E-9</v>
      </c>
    </row>
    <row r="556" spans="1:8" ht="12.75" customHeight="1" x14ac:dyDescent="0.2">
      <c r="A556" s="688" t="s">
        <v>73</v>
      </c>
      <c r="B556" s="907" t="s">
        <v>860</v>
      </c>
      <c r="C556" s="689"/>
      <c r="D556" s="690"/>
      <c r="E556" s="691">
        <f>95808.38+1408.93</f>
        <v>97217.31</v>
      </c>
      <c r="F556" s="691"/>
    </row>
    <row r="557" spans="1:8" ht="12.75" customHeight="1" x14ac:dyDescent="0.2">
      <c r="A557" s="528"/>
      <c r="B557" s="721" t="s">
        <v>590</v>
      </c>
      <c r="C557" s="692"/>
      <c r="D557" s="693">
        <v>176755.32</v>
      </c>
      <c r="E557" s="725">
        <f>SUM(D557:D594)</f>
        <v>693512.95</v>
      </c>
      <c r="F557" s="693"/>
      <c r="H557" s="695"/>
    </row>
    <row r="558" spans="1:8" ht="12.75" customHeight="1" x14ac:dyDescent="0.2">
      <c r="A558" s="528"/>
      <c r="B558" s="736" t="s">
        <v>231</v>
      </c>
      <c r="C558" s="590"/>
      <c r="D558" s="734">
        <v>-51528</v>
      </c>
      <c r="E558" s="693"/>
      <c r="F558" s="693"/>
      <c r="H558" s="683" t="s">
        <v>869</v>
      </c>
    </row>
    <row r="559" spans="1:8" ht="12.75" customHeight="1" x14ac:dyDescent="0.2">
      <c r="A559" s="528"/>
      <c r="B559" s="723" t="s">
        <v>591</v>
      </c>
      <c r="C559" s="692"/>
      <c r="D559" s="693"/>
      <c r="E559" s="693"/>
      <c r="F559" s="693"/>
      <c r="G559" s="724" t="s">
        <v>618</v>
      </c>
      <c r="H559" s="695"/>
    </row>
    <row r="560" spans="1:8" ht="12.75" customHeight="1" x14ac:dyDescent="0.2">
      <c r="A560" s="528"/>
      <c r="B560" s="723" t="s">
        <v>592</v>
      </c>
      <c r="C560" s="692"/>
      <c r="D560" s="693"/>
      <c r="E560" s="693"/>
      <c r="F560" s="693"/>
      <c r="G560" s="724" t="s">
        <v>619</v>
      </c>
    </row>
    <row r="561" spans="1:7" ht="12.75" customHeight="1" x14ac:dyDescent="0.2">
      <c r="A561" s="528"/>
      <c r="B561" s="723" t="s">
        <v>593</v>
      </c>
      <c r="C561" s="692"/>
      <c r="D561" s="693"/>
      <c r="E561" s="693"/>
      <c r="F561" s="693"/>
      <c r="G561" s="724" t="s">
        <v>620</v>
      </c>
    </row>
    <row r="562" spans="1:7" ht="12.75" customHeight="1" x14ac:dyDescent="0.2">
      <c r="A562" s="528"/>
      <c r="B562" s="723" t="s">
        <v>661</v>
      </c>
      <c r="C562" s="692"/>
      <c r="D562" s="693"/>
      <c r="E562" s="693"/>
      <c r="F562" s="693"/>
      <c r="G562" s="724">
        <v>3014</v>
      </c>
    </row>
    <row r="563" spans="1:7" ht="12.75" customHeight="1" x14ac:dyDescent="0.2">
      <c r="A563" s="528"/>
      <c r="B563" s="723" t="s">
        <v>594</v>
      </c>
      <c r="C563" s="692"/>
      <c r="D563" s="693"/>
      <c r="E563" s="693"/>
      <c r="F563" s="693"/>
      <c r="G563" s="724" t="s">
        <v>621</v>
      </c>
    </row>
    <row r="564" spans="1:7" ht="12.75" customHeight="1" x14ac:dyDescent="0.2">
      <c r="A564" s="528"/>
      <c r="B564" s="723" t="s">
        <v>595</v>
      </c>
      <c r="C564" s="692"/>
      <c r="D564" s="693"/>
      <c r="E564" s="693"/>
      <c r="F564" s="693"/>
      <c r="G564" s="724" t="s">
        <v>622</v>
      </c>
    </row>
    <row r="565" spans="1:7" ht="12.75" customHeight="1" x14ac:dyDescent="0.2">
      <c r="A565" s="528"/>
      <c r="B565" s="723" t="s">
        <v>670</v>
      </c>
      <c r="C565" s="692"/>
      <c r="D565" s="693"/>
      <c r="E565" s="693"/>
      <c r="F565" s="693"/>
      <c r="G565" s="724">
        <v>3028</v>
      </c>
    </row>
    <row r="566" spans="1:7" ht="12.75" customHeight="1" x14ac:dyDescent="0.2">
      <c r="A566" s="528"/>
      <c r="B566" s="733" t="s">
        <v>50</v>
      </c>
      <c r="C566" s="692"/>
      <c r="D566" s="693">
        <v>568285.63</v>
      </c>
      <c r="E566" s="693"/>
      <c r="F566" s="693"/>
      <c r="G566" s="724"/>
    </row>
    <row r="567" spans="1:7" ht="12.75" customHeight="1" x14ac:dyDescent="0.2">
      <c r="A567" s="528"/>
      <c r="B567" s="723" t="s">
        <v>655</v>
      </c>
      <c r="C567" s="692"/>
      <c r="D567" s="693"/>
      <c r="E567" s="693"/>
      <c r="F567" s="693"/>
      <c r="G567" s="724">
        <v>3031</v>
      </c>
    </row>
    <row r="568" spans="1:7" ht="12.75" customHeight="1" x14ac:dyDescent="0.2">
      <c r="A568" s="528"/>
      <c r="B568" s="723" t="s">
        <v>596</v>
      </c>
      <c r="C568" s="692"/>
      <c r="D568" s="693"/>
      <c r="E568" s="693"/>
      <c r="F568" s="693"/>
      <c r="G568" s="724" t="s">
        <v>623</v>
      </c>
    </row>
    <row r="569" spans="1:7" ht="12.75" customHeight="1" x14ac:dyDescent="0.2">
      <c r="A569" s="528"/>
      <c r="B569" s="723" t="s">
        <v>597</v>
      </c>
      <c r="C569" s="692"/>
      <c r="D569" s="693"/>
      <c r="E569" s="693"/>
      <c r="F569" s="693"/>
      <c r="G569" s="724" t="s">
        <v>624</v>
      </c>
    </row>
    <row r="570" spans="1:7" ht="12.75" customHeight="1" x14ac:dyDescent="0.2">
      <c r="A570" s="528"/>
      <c r="B570" s="723" t="s">
        <v>647</v>
      </c>
      <c r="C570" s="692"/>
      <c r="D570" s="693"/>
      <c r="E570" s="693"/>
      <c r="F570" s="693"/>
      <c r="G570" s="724">
        <v>3034</v>
      </c>
    </row>
    <row r="571" spans="1:7" ht="12.75" customHeight="1" x14ac:dyDescent="0.2">
      <c r="A571" s="528"/>
      <c r="B571" s="723" t="s">
        <v>598</v>
      </c>
      <c r="C571" s="692"/>
      <c r="D571" s="693"/>
      <c r="E571" s="693"/>
      <c r="F571" s="693"/>
      <c r="G571" s="724" t="s">
        <v>625</v>
      </c>
    </row>
    <row r="572" spans="1:7" ht="12.75" customHeight="1" x14ac:dyDescent="0.2">
      <c r="A572" s="528"/>
      <c r="B572" s="723" t="s">
        <v>599</v>
      </c>
      <c r="C572" s="692"/>
      <c r="D572" s="693"/>
      <c r="E572" s="693"/>
      <c r="F572" s="693"/>
      <c r="G572" s="724" t="s">
        <v>626</v>
      </c>
    </row>
    <row r="573" spans="1:7" ht="12.75" customHeight="1" x14ac:dyDescent="0.2">
      <c r="A573" s="528"/>
      <c r="B573" s="723" t="s">
        <v>600</v>
      </c>
      <c r="C573" s="692"/>
      <c r="D573" s="693"/>
      <c r="E573" s="693"/>
      <c r="F573" s="693"/>
      <c r="G573" s="724" t="s">
        <v>627</v>
      </c>
    </row>
    <row r="574" spans="1:7" ht="12.75" customHeight="1" x14ac:dyDescent="0.2">
      <c r="A574" s="528"/>
      <c r="B574" s="723" t="s">
        <v>601</v>
      </c>
      <c r="C574" s="692"/>
      <c r="D574" s="693"/>
      <c r="E574" s="693"/>
      <c r="F574" s="693"/>
      <c r="G574" s="724" t="s">
        <v>628</v>
      </c>
    </row>
    <row r="575" spans="1:7" ht="12.75" customHeight="1" x14ac:dyDescent="0.2">
      <c r="A575" s="528"/>
      <c r="B575" s="723" t="s">
        <v>602</v>
      </c>
      <c r="C575" s="692"/>
      <c r="D575" s="693">
        <v>0</v>
      </c>
      <c r="E575" s="693"/>
      <c r="F575" s="693"/>
      <c r="G575" s="724" t="s">
        <v>629</v>
      </c>
    </row>
    <row r="576" spans="1:7" ht="12.75" customHeight="1" x14ac:dyDescent="0.2">
      <c r="A576" s="528"/>
      <c r="B576" s="723" t="s">
        <v>603</v>
      </c>
      <c r="C576" s="692"/>
      <c r="D576" s="693">
        <v>0</v>
      </c>
      <c r="E576" s="693"/>
      <c r="F576" s="693"/>
      <c r="G576" s="724" t="s">
        <v>630</v>
      </c>
    </row>
    <row r="577" spans="1:8" ht="12.75" customHeight="1" x14ac:dyDescent="0.2">
      <c r="A577" s="528"/>
      <c r="B577" s="723" t="s">
        <v>604</v>
      </c>
      <c r="C577" s="692"/>
      <c r="D577" s="693"/>
      <c r="E577" s="693"/>
      <c r="F577" s="693"/>
      <c r="G577" s="724" t="s">
        <v>631</v>
      </c>
    </row>
    <row r="578" spans="1:8" ht="12.75" customHeight="1" x14ac:dyDescent="0.2">
      <c r="A578" s="528"/>
      <c r="B578" s="723" t="s">
        <v>605</v>
      </c>
      <c r="C578" s="692"/>
      <c r="D578" s="693"/>
      <c r="E578" s="693"/>
      <c r="F578" s="693"/>
      <c r="G578" s="724" t="s">
        <v>632</v>
      </c>
    </row>
    <row r="579" spans="1:8" ht="12.75" customHeight="1" x14ac:dyDescent="0.2">
      <c r="A579" s="528"/>
      <c r="B579" s="723" t="s">
        <v>606</v>
      </c>
      <c r="C579" s="692"/>
      <c r="D579" s="693"/>
      <c r="E579" s="693"/>
      <c r="F579" s="693"/>
      <c r="G579" s="724" t="s">
        <v>633</v>
      </c>
    </row>
    <row r="580" spans="1:8" ht="12.75" customHeight="1" x14ac:dyDescent="0.2">
      <c r="A580" s="528"/>
      <c r="B580" s="723" t="s">
        <v>648</v>
      </c>
      <c r="C580" s="692"/>
      <c r="D580" s="693"/>
      <c r="E580" s="693"/>
      <c r="F580" s="693"/>
      <c r="G580" s="724">
        <v>3048</v>
      </c>
    </row>
    <row r="581" spans="1:8" ht="12.75" customHeight="1" x14ac:dyDescent="0.2">
      <c r="A581" s="528"/>
      <c r="B581" s="723" t="s">
        <v>607</v>
      </c>
      <c r="C581" s="692"/>
      <c r="D581" s="693"/>
      <c r="E581" s="693"/>
      <c r="F581" s="693"/>
      <c r="G581" s="724" t="s">
        <v>634</v>
      </c>
    </row>
    <row r="582" spans="1:8" ht="12.75" customHeight="1" x14ac:dyDescent="0.2">
      <c r="A582" s="528"/>
      <c r="B582" s="723" t="s">
        <v>608</v>
      </c>
      <c r="C582" s="692"/>
      <c r="D582" s="693"/>
      <c r="E582" s="693"/>
      <c r="F582" s="693"/>
      <c r="G582" s="724" t="s">
        <v>635</v>
      </c>
    </row>
    <row r="583" spans="1:8" ht="12.75" customHeight="1" x14ac:dyDescent="0.2">
      <c r="A583" s="528"/>
      <c r="B583" s="723" t="s">
        <v>667</v>
      </c>
      <c r="C583" s="692"/>
      <c r="D583" s="693"/>
      <c r="E583" s="693"/>
      <c r="F583" s="693"/>
      <c r="G583" s="724">
        <v>3052</v>
      </c>
    </row>
    <row r="584" spans="1:8" ht="12.75" customHeight="1" x14ac:dyDescent="0.2">
      <c r="A584" s="528"/>
      <c r="B584" s="723" t="s">
        <v>609</v>
      </c>
      <c r="C584" s="692"/>
      <c r="D584" s="693"/>
      <c r="E584" s="693"/>
      <c r="F584" s="693"/>
      <c r="G584" s="724" t="s">
        <v>636</v>
      </c>
    </row>
    <row r="585" spans="1:8" ht="12.75" customHeight="1" x14ac:dyDescent="0.2">
      <c r="A585" s="528"/>
      <c r="B585" s="723" t="s">
        <v>652</v>
      </c>
      <c r="C585" s="692"/>
      <c r="D585" s="693"/>
      <c r="E585" s="693"/>
      <c r="F585" s="693"/>
      <c r="G585" s="724">
        <v>3056</v>
      </c>
    </row>
    <row r="586" spans="1:8" ht="12.75" customHeight="1" x14ac:dyDescent="0.2">
      <c r="A586" s="528"/>
      <c r="B586" s="723" t="s">
        <v>610</v>
      </c>
      <c r="C586" s="692"/>
      <c r="D586" s="693"/>
      <c r="E586" s="693"/>
      <c r="F586" s="693"/>
      <c r="G586" s="724" t="s">
        <v>637</v>
      </c>
    </row>
    <row r="587" spans="1:8" ht="12.75" customHeight="1" x14ac:dyDescent="0.2">
      <c r="A587" s="528"/>
      <c r="B587" s="723" t="s">
        <v>611</v>
      </c>
      <c r="C587" s="692"/>
      <c r="D587" s="693"/>
      <c r="E587" s="693"/>
      <c r="F587" s="693"/>
      <c r="G587" s="724" t="s">
        <v>638</v>
      </c>
    </row>
    <row r="588" spans="1:8" ht="12.75" customHeight="1" x14ac:dyDescent="0.2">
      <c r="A588" s="528"/>
      <c r="B588" s="723" t="s">
        <v>612</v>
      </c>
      <c r="C588" s="692"/>
      <c r="D588" s="693"/>
      <c r="E588" s="693"/>
      <c r="F588" s="693"/>
      <c r="G588" s="724" t="s">
        <v>639</v>
      </c>
    </row>
    <row r="589" spans="1:8" ht="12.75" customHeight="1" x14ac:dyDescent="0.2">
      <c r="A589" s="528"/>
      <c r="B589" s="723" t="s">
        <v>649</v>
      </c>
      <c r="C589" s="692"/>
      <c r="D589" s="693">
        <v>0</v>
      </c>
      <c r="E589" s="693"/>
      <c r="F589" s="693"/>
      <c r="G589" s="724">
        <v>3061</v>
      </c>
    </row>
    <row r="590" spans="1:8" ht="12.75" customHeight="1" x14ac:dyDescent="0.2">
      <c r="A590" s="528"/>
      <c r="B590" s="723" t="s">
        <v>613</v>
      </c>
      <c r="C590" s="692"/>
      <c r="D590" s="693">
        <v>0</v>
      </c>
      <c r="E590" s="693"/>
      <c r="F590" s="693"/>
      <c r="G590" s="724" t="s">
        <v>640</v>
      </c>
    </row>
    <row r="591" spans="1:8" ht="12.75" customHeight="1" x14ac:dyDescent="0.2">
      <c r="A591" s="528"/>
      <c r="B591" s="723" t="s">
        <v>614</v>
      </c>
      <c r="C591" s="692"/>
      <c r="D591" s="693"/>
      <c r="E591" s="693"/>
      <c r="F591" s="693"/>
      <c r="G591" s="724" t="s">
        <v>641</v>
      </c>
    </row>
    <row r="592" spans="1:8" ht="12.75" customHeight="1" x14ac:dyDescent="0.2">
      <c r="A592" s="528"/>
      <c r="B592" s="723" t="s">
        <v>615</v>
      </c>
      <c r="C592" s="692"/>
      <c r="D592" s="693"/>
      <c r="E592" s="693"/>
      <c r="F592" s="693"/>
      <c r="G592" s="724" t="s">
        <v>642</v>
      </c>
      <c r="H592" s="695"/>
    </row>
    <row r="593" spans="1:8" ht="12.75" customHeight="1" x14ac:dyDescent="0.2">
      <c r="A593" s="528"/>
      <c r="B593" s="723" t="s">
        <v>616</v>
      </c>
      <c r="C593" s="692"/>
      <c r="D593" s="693"/>
      <c r="E593" s="693"/>
      <c r="F593" s="693"/>
      <c r="G593" s="724" t="s">
        <v>643</v>
      </c>
    </row>
    <row r="594" spans="1:8" ht="12.75" customHeight="1" x14ac:dyDescent="0.2">
      <c r="A594" s="528"/>
      <c r="B594" s="723" t="s">
        <v>617</v>
      </c>
      <c r="C594" s="692"/>
      <c r="D594" s="693"/>
      <c r="E594" s="693"/>
      <c r="F594" s="693"/>
      <c r="G594" s="724" t="s">
        <v>644</v>
      </c>
      <c r="H594" s="695"/>
    </row>
    <row r="595" spans="1:8" ht="12.75" customHeight="1" x14ac:dyDescent="0.2">
      <c r="A595" s="528"/>
      <c r="B595" s="726" t="s">
        <v>303</v>
      </c>
      <c r="C595" s="696"/>
      <c r="D595" s="693">
        <v>98435.67</v>
      </c>
      <c r="E595" s="725">
        <f>SUM(D595)</f>
        <v>98435.67</v>
      </c>
      <c r="F595" s="693"/>
      <c r="G595" s="724">
        <v>3001</v>
      </c>
      <c r="H595" s="695"/>
    </row>
    <row r="596" spans="1:8" ht="12.75" customHeight="1" x14ac:dyDescent="0.2">
      <c r="A596" s="528"/>
      <c r="B596" s="727" t="s">
        <v>439</v>
      </c>
      <c r="C596" s="697"/>
      <c r="D596" s="693"/>
      <c r="E596" s="725">
        <f>SUM(D597:D602)</f>
        <v>893744.72000000009</v>
      </c>
      <c r="F596" s="693"/>
      <c r="H596" s="695"/>
    </row>
    <row r="597" spans="1:8" ht="12.75" customHeight="1" x14ac:dyDescent="0.2">
      <c r="A597" s="528"/>
      <c r="B597" s="694"/>
      <c r="C597" s="696" t="s">
        <v>304</v>
      </c>
      <c r="D597" s="693">
        <v>145248.4</v>
      </c>
      <c r="E597" s="693"/>
      <c r="F597" s="693"/>
      <c r="H597" s="695"/>
    </row>
    <row r="598" spans="1:8" ht="12.75" customHeight="1" x14ac:dyDescent="0.2">
      <c r="A598" s="528"/>
      <c r="B598" s="694"/>
      <c r="C598" s="696" t="s">
        <v>305</v>
      </c>
      <c r="D598" s="693">
        <v>0</v>
      </c>
      <c r="E598" s="693"/>
      <c r="F598" s="693"/>
    </row>
    <row r="599" spans="1:8" ht="12.75" customHeight="1" x14ac:dyDescent="0.2">
      <c r="A599" s="528"/>
      <c r="B599" s="694"/>
      <c r="C599" s="696" t="s">
        <v>306</v>
      </c>
      <c r="D599" s="693">
        <v>591760.55000000005</v>
      </c>
      <c r="E599" s="693"/>
      <c r="F599" s="693"/>
    </row>
    <row r="600" spans="1:8" ht="12.75" customHeight="1" x14ac:dyDescent="0.2">
      <c r="A600" s="528"/>
      <c r="B600" s="694"/>
      <c r="C600" s="696" t="s">
        <v>307</v>
      </c>
      <c r="D600" s="693">
        <v>2936.9</v>
      </c>
      <c r="E600" s="693"/>
      <c r="F600" s="693"/>
    </row>
    <row r="601" spans="1:8" ht="12.75" customHeight="1" x14ac:dyDescent="0.2">
      <c r="A601" s="708"/>
      <c r="B601" s="694"/>
      <c r="C601" s="697" t="s">
        <v>308</v>
      </c>
      <c r="D601" s="693">
        <v>36383.21</v>
      </c>
      <c r="E601" s="693"/>
      <c r="F601" s="693"/>
    </row>
    <row r="602" spans="1:8" ht="12.75" customHeight="1" x14ac:dyDescent="0.2">
      <c r="A602" s="528"/>
      <c r="B602" s="694"/>
      <c r="C602" s="697" t="s">
        <v>121</v>
      </c>
      <c r="D602" s="693">
        <v>117415.66</v>
      </c>
      <c r="E602" s="693"/>
      <c r="F602" s="693"/>
      <c r="G602" s="683">
        <v>4005</v>
      </c>
    </row>
    <row r="603" spans="1:8" ht="12.75" customHeight="1" x14ac:dyDescent="0.2">
      <c r="A603" s="528"/>
      <c r="B603" s="699" t="s">
        <v>309</v>
      </c>
      <c r="C603" s="697"/>
      <c r="D603" s="693"/>
      <c r="E603" s="701"/>
      <c r="F603" s="693"/>
    </row>
    <row r="604" spans="1:8" ht="12.75" customHeight="1" x14ac:dyDescent="0.2">
      <c r="A604" s="528"/>
      <c r="B604" s="729" t="s">
        <v>310</v>
      </c>
      <c r="D604" s="693">
        <v>76196.479999999996</v>
      </c>
      <c r="E604" s="728">
        <f>D604</f>
        <v>76196.479999999996</v>
      </c>
      <c r="F604" s="693"/>
      <c r="G604" s="683">
        <v>5002</v>
      </c>
      <c r="H604" s="695"/>
    </row>
    <row r="605" spans="1:8" ht="12.75" customHeight="1" thickBot="1" x14ac:dyDescent="0.25">
      <c r="A605" s="702"/>
      <c r="B605" s="703"/>
      <c r="C605" s="704"/>
      <c r="D605" s="709"/>
      <c r="E605" s="706"/>
      <c r="F605" s="731">
        <f>SUM(E556:E605)</f>
        <v>1859107.1300000001</v>
      </c>
      <c r="H605" s="707">
        <f>'Sched-B1'!B15+'Sched-B2'!E207+'Sched-D1'!F605-8889888.78-568285.63+51528</f>
        <v>8.149072527885437E-10</v>
      </c>
    </row>
    <row r="606" spans="1:8" ht="12.75" customHeight="1" x14ac:dyDescent="0.2">
      <c r="A606" s="688" t="s">
        <v>666</v>
      </c>
      <c r="B606" s="907" t="s">
        <v>860</v>
      </c>
      <c r="C606" s="689"/>
      <c r="D606" s="690"/>
      <c r="E606" s="691">
        <v>0</v>
      </c>
      <c r="F606" s="691"/>
      <c r="G606" s="683">
        <v>2000</v>
      </c>
    </row>
    <row r="607" spans="1:8" ht="12.75" customHeight="1" x14ac:dyDescent="0.2">
      <c r="A607" s="528"/>
      <c r="B607" s="721" t="s">
        <v>590</v>
      </c>
      <c r="C607" s="692"/>
      <c r="D607" s="693">
        <v>150809.39000000001</v>
      </c>
      <c r="E607" s="725">
        <f>SUM(D607:D648)</f>
        <v>445681.42000000004</v>
      </c>
      <c r="F607" s="693"/>
    </row>
    <row r="608" spans="1:8" ht="12.75" customHeight="1" x14ac:dyDescent="0.2">
      <c r="A608" s="528"/>
      <c r="B608" s="723" t="s">
        <v>591</v>
      </c>
      <c r="C608" s="692"/>
      <c r="D608" s="693"/>
      <c r="E608" s="693"/>
      <c r="F608" s="693"/>
      <c r="G608" s="724" t="s">
        <v>618</v>
      </c>
    </row>
    <row r="609" spans="1:7" ht="12.75" customHeight="1" x14ac:dyDescent="0.2">
      <c r="A609" s="528"/>
      <c r="B609" s="723" t="s">
        <v>592</v>
      </c>
      <c r="C609" s="692"/>
      <c r="D609" s="693"/>
      <c r="E609" s="693"/>
      <c r="F609" s="693"/>
      <c r="G609" s="724" t="s">
        <v>619</v>
      </c>
    </row>
    <row r="610" spans="1:7" ht="12.75" customHeight="1" x14ac:dyDescent="0.2">
      <c r="A610" s="528"/>
      <c r="B610" s="723" t="s">
        <v>650</v>
      </c>
      <c r="C610" s="692"/>
      <c r="D610" s="693"/>
      <c r="E610" s="693"/>
      <c r="F610" s="693"/>
      <c r="G610" s="724">
        <v>3003</v>
      </c>
    </row>
    <row r="611" spans="1:7" ht="12.75" customHeight="1" x14ac:dyDescent="0.2">
      <c r="A611" s="528"/>
      <c r="B611" s="723" t="s">
        <v>593</v>
      </c>
      <c r="C611" s="692"/>
      <c r="D611" s="693"/>
      <c r="E611" s="693"/>
      <c r="F611" s="693"/>
      <c r="G611" s="724" t="s">
        <v>620</v>
      </c>
    </row>
    <row r="612" spans="1:7" ht="12.75" customHeight="1" x14ac:dyDescent="0.2">
      <c r="A612" s="528"/>
      <c r="B612" s="723" t="s">
        <v>661</v>
      </c>
      <c r="C612" s="692"/>
      <c r="D612" s="693"/>
      <c r="E612" s="693"/>
      <c r="F612" s="693"/>
      <c r="G612" s="724">
        <v>3014</v>
      </c>
    </row>
    <row r="613" spans="1:7" ht="12.75" customHeight="1" x14ac:dyDescent="0.2">
      <c r="A613" s="528"/>
      <c r="B613" s="723" t="s">
        <v>594</v>
      </c>
      <c r="C613" s="692"/>
      <c r="D613" s="693"/>
      <c r="E613" s="693"/>
      <c r="F613" s="693"/>
      <c r="G613" s="724" t="s">
        <v>621</v>
      </c>
    </row>
    <row r="614" spans="1:7" ht="12.75" customHeight="1" x14ac:dyDescent="0.2">
      <c r="A614" s="528"/>
      <c r="B614" s="723" t="s">
        <v>595</v>
      </c>
      <c r="C614" s="692"/>
      <c r="D614" s="693"/>
      <c r="E614" s="693"/>
      <c r="F614" s="693"/>
      <c r="G614" s="724" t="s">
        <v>622</v>
      </c>
    </row>
    <row r="615" spans="1:7" ht="12.75" customHeight="1" x14ac:dyDescent="0.2">
      <c r="A615" s="528"/>
      <c r="B615" s="733" t="s">
        <v>50</v>
      </c>
      <c r="C615" s="692"/>
      <c r="D615" s="693">
        <v>294872.03000000003</v>
      </c>
      <c r="E615" s="693"/>
      <c r="F615" s="693"/>
      <c r="G615" s="724"/>
    </row>
    <row r="616" spans="1:7" ht="12.75" customHeight="1" x14ac:dyDescent="0.2">
      <c r="A616" s="528"/>
      <c r="B616" s="723" t="s">
        <v>665</v>
      </c>
      <c r="C616" s="692"/>
      <c r="D616" s="693"/>
      <c r="E616" s="693"/>
      <c r="F616" s="693"/>
      <c r="G616" s="724">
        <v>3027</v>
      </c>
    </row>
    <row r="617" spans="1:7" ht="12.75" customHeight="1" x14ac:dyDescent="0.2">
      <c r="A617" s="528"/>
      <c r="B617" s="723" t="s">
        <v>655</v>
      </c>
      <c r="C617" s="692"/>
      <c r="D617" s="693"/>
      <c r="E617" s="693"/>
      <c r="F617" s="693"/>
      <c r="G617" s="724">
        <v>3029</v>
      </c>
    </row>
    <row r="618" spans="1:7" ht="12.75" customHeight="1" x14ac:dyDescent="0.2">
      <c r="A618" s="528"/>
      <c r="B618" s="723" t="s">
        <v>596</v>
      </c>
      <c r="C618" s="692"/>
      <c r="D618" s="693"/>
      <c r="E618" s="693"/>
      <c r="F618" s="693"/>
      <c r="G618" s="724" t="s">
        <v>623</v>
      </c>
    </row>
    <row r="619" spans="1:7" ht="12.75" customHeight="1" x14ac:dyDescent="0.2">
      <c r="A619" s="528"/>
      <c r="B619" s="723" t="s">
        <v>597</v>
      </c>
      <c r="C619" s="692"/>
      <c r="D619" s="693"/>
      <c r="E619" s="693"/>
      <c r="F619" s="693"/>
      <c r="G619" s="724" t="s">
        <v>624</v>
      </c>
    </row>
    <row r="620" spans="1:7" ht="12.75" customHeight="1" x14ac:dyDescent="0.2">
      <c r="A620" s="528"/>
      <c r="B620" s="723" t="s">
        <v>647</v>
      </c>
      <c r="C620" s="692"/>
      <c r="D620" s="693"/>
      <c r="E620" s="693"/>
      <c r="F620" s="693"/>
      <c r="G620" s="724">
        <v>3034</v>
      </c>
    </row>
    <row r="621" spans="1:7" ht="12.75" customHeight="1" x14ac:dyDescent="0.2">
      <c r="A621" s="528"/>
      <c r="B621" s="723" t="s">
        <v>598</v>
      </c>
      <c r="C621" s="692"/>
      <c r="D621" s="693"/>
      <c r="E621" s="693"/>
      <c r="F621" s="693"/>
      <c r="G621" s="724" t="s">
        <v>625</v>
      </c>
    </row>
    <row r="622" spans="1:7" ht="12.75" customHeight="1" x14ac:dyDescent="0.2">
      <c r="A622" s="528"/>
      <c r="B622" s="723" t="s">
        <v>599</v>
      </c>
      <c r="C622" s="692"/>
      <c r="D622" s="693"/>
      <c r="E622" s="693"/>
      <c r="F622" s="693"/>
      <c r="G622" s="724" t="s">
        <v>626</v>
      </c>
    </row>
    <row r="623" spans="1:7" ht="12.75" customHeight="1" x14ac:dyDescent="0.2">
      <c r="A623" s="528"/>
      <c r="B623" s="723" t="s">
        <v>600</v>
      </c>
      <c r="C623" s="692"/>
      <c r="D623" s="693"/>
      <c r="E623" s="693"/>
      <c r="F623" s="693"/>
      <c r="G623" s="724" t="s">
        <v>627</v>
      </c>
    </row>
    <row r="624" spans="1:7" ht="12.75" customHeight="1" x14ac:dyDescent="0.2">
      <c r="A624" s="528"/>
      <c r="B624" s="723" t="s">
        <v>601</v>
      </c>
      <c r="C624" s="692"/>
      <c r="D624" s="693"/>
      <c r="E624" s="693"/>
      <c r="F624" s="693"/>
      <c r="G624" s="724" t="s">
        <v>628</v>
      </c>
    </row>
    <row r="625" spans="1:7" ht="12.75" customHeight="1" x14ac:dyDescent="0.2">
      <c r="A625" s="528"/>
      <c r="B625" s="723" t="s">
        <v>602</v>
      </c>
      <c r="C625" s="692"/>
      <c r="D625" s="693"/>
      <c r="E625" s="693"/>
      <c r="F625" s="693"/>
      <c r="G625" s="724" t="s">
        <v>629</v>
      </c>
    </row>
    <row r="626" spans="1:7" ht="12.75" customHeight="1" x14ac:dyDescent="0.2">
      <c r="A626" s="528"/>
      <c r="B626" s="723" t="s">
        <v>603</v>
      </c>
      <c r="C626" s="692"/>
      <c r="D626" s="693"/>
      <c r="E626" s="693"/>
      <c r="F626" s="693"/>
      <c r="G626" s="724" t="s">
        <v>630</v>
      </c>
    </row>
    <row r="627" spans="1:7" ht="12.75" customHeight="1" x14ac:dyDescent="0.2">
      <c r="A627" s="528"/>
      <c r="B627" s="723" t="s">
        <v>657</v>
      </c>
      <c r="C627" s="692"/>
      <c r="D627" s="693"/>
      <c r="E627" s="693"/>
      <c r="F627" s="693"/>
      <c r="G627" s="724">
        <v>3042</v>
      </c>
    </row>
    <row r="628" spans="1:7" ht="12.75" customHeight="1" x14ac:dyDescent="0.2">
      <c r="A628" s="528"/>
      <c r="B628" s="723" t="s">
        <v>604</v>
      </c>
      <c r="C628" s="692"/>
      <c r="D628" s="693"/>
      <c r="E628" s="693"/>
      <c r="F628" s="693"/>
      <c r="G628" s="724" t="s">
        <v>631</v>
      </c>
    </row>
    <row r="629" spans="1:7" ht="12.75" customHeight="1" x14ac:dyDescent="0.2">
      <c r="A629" s="528"/>
      <c r="B629" s="723" t="s">
        <v>605</v>
      </c>
      <c r="C629" s="692"/>
      <c r="D629" s="693"/>
      <c r="E629" s="693"/>
      <c r="F629" s="693"/>
      <c r="G629" s="724" t="s">
        <v>632</v>
      </c>
    </row>
    <row r="630" spans="1:7" ht="12.75" customHeight="1" x14ac:dyDescent="0.2">
      <c r="A630" s="528"/>
      <c r="B630" s="723" t="s">
        <v>606</v>
      </c>
      <c r="C630" s="692"/>
      <c r="D630" s="693"/>
      <c r="E630" s="693"/>
      <c r="F630" s="693"/>
      <c r="G630" s="724" t="s">
        <v>633</v>
      </c>
    </row>
    <row r="631" spans="1:7" ht="12.75" customHeight="1" x14ac:dyDescent="0.2">
      <c r="A631" s="528"/>
      <c r="B631" s="723" t="s">
        <v>648</v>
      </c>
      <c r="C631" s="692"/>
      <c r="D631" s="693"/>
      <c r="E631" s="693"/>
      <c r="F631" s="693"/>
      <c r="G631" s="724">
        <v>3048</v>
      </c>
    </row>
    <row r="632" spans="1:7" ht="12.75" customHeight="1" x14ac:dyDescent="0.2">
      <c r="A632" s="528"/>
      <c r="B632" s="723" t="s">
        <v>607</v>
      </c>
      <c r="C632" s="692"/>
      <c r="D632" s="693"/>
      <c r="E632" s="693"/>
      <c r="F632" s="693"/>
      <c r="G632" s="724" t="s">
        <v>634</v>
      </c>
    </row>
    <row r="633" spans="1:7" ht="12.75" customHeight="1" x14ac:dyDescent="0.2">
      <c r="A633" s="528"/>
      <c r="B633" s="723" t="s">
        <v>608</v>
      </c>
      <c r="C633" s="692"/>
      <c r="D633" s="693"/>
      <c r="E633" s="693"/>
      <c r="F633" s="693"/>
      <c r="G633" s="724" t="s">
        <v>635</v>
      </c>
    </row>
    <row r="634" spans="1:7" ht="12.75" customHeight="1" x14ac:dyDescent="0.2">
      <c r="A634" s="528"/>
      <c r="B634" s="723" t="s">
        <v>651</v>
      </c>
      <c r="C634" s="692"/>
      <c r="D634" s="693"/>
      <c r="E634" s="693"/>
      <c r="F634" s="693"/>
      <c r="G634" s="724">
        <v>3051</v>
      </c>
    </row>
    <row r="635" spans="1:7" ht="12.75" customHeight="1" x14ac:dyDescent="0.2">
      <c r="A635" s="528"/>
      <c r="B635" s="723" t="s">
        <v>609</v>
      </c>
      <c r="C635" s="692"/>
      <c r="D635" s="693"/>
      <c r="E635" s="693"/>
      <c r="F635" s="693"/>
      <c r="G635" s="724" t="s">
        <v>636</v>
      </c>
    </row>
    <row r="636" spans="1:7" ht="12.75" customHeight="1" x14ac:dyDescent="0.2">
      <c r="A636" s="528"/>
      <c r="B636" s="723" t="s">
        <v>652</v>
      </c>
      <c r="C636" s="692"/>
      <c r="D636" s="693">
        <v>0</v>
      </c>
      <c r="E636" s="693"/>
      <c r="F636" s="693"/>
      <c r="G636" s="724">
        <v>3056</v>
      </c>
    </row>
    <row r="637" spans="1:7" ht="12.75" customHeight="1" x14ac:dyDescent="0.2">
      <c r="A637" s="528"/>
      <c r="B637" s="723" t="s">
        <v>610</v>
      </c>
      <c r="C637" s="692"/>
      <c r="D637" s="693">
        <v>0</v>
      </c>
      <c r="E637" s="693"/>
      <c r="F637" s="693"/>
      <c r="G637" s="724">
        <v>3057</v>
      </c>
    </row>
    <row r="638" spans="1:7" ht="12.75" customHeight="1" x14ac:dyDescent="0.2">
      <c r="A638" s="528"/>
      <c r="B638" s="723" t="s">
        <v>611</v>
      </c>
      <c r="C638" s="692"/>
      <c r="D638" s="693">
        <v>0</v>
      </c>
      <c r="E638" s="693"/>
      <c r="F638" s="693"/>
      <c r="G638" s="724" t="s">
        <v>638</v>
      </c>
    </row>
    <row r="639" spans="1:7" ht="12.75" customHeight="1" x14ac:dyDescent="0.2">
      <c r="A639" s="528"/>
      <c r="B639" s="723" t="s">
        <v>612</v>
      </c>
      <c r="C639" s="692"/>
      <c r="D639" s="693">
        <v>0</v>
      </c>
      <c r="E639" s="693"/>
      <c r="F639" s="693"/>
      <c r="G639" s="724" t="s">
        <v>639</v>
      </c>
    </row>
    <row r="640" spans="1:7" ht="12.75" customHeight="1" x14ac:dyDescent="0.2">
      <c r="A640" s="528"/>
      <c r="B640" s="723" t="s">
        <v>649</v>
      </c>
      <c r="C640" s="692"/>
      <c r="D640" s="693"/>
      <c r="E640" s="693"/>
      <c r="F640" s="693"/>
      <c r="G640" s="724">
        <v>3061</v>
      </c>
    </row>
    <row r="641" spans="1:8" ht="12.75" customHeight="1" x14ac:dyDescent="0.2">
      <c r="A641" s="528"/>
      <c r="B641" s="723" t="s">
        <v>658</v>
      </c>
      <c r="C641" s="692"/>
      <c r="D641" s="693"/>
      <c r="E641" s="693"/>
      <c r="F641" s="693"/>
      <c r="G641" s="724">
        <v>3063</v>
      </c>
    </row>
    <row r="642" spans="1:8" ht="12.75" customHeight="1" x14ac:dyDescent="0.2">
      <c r="A642" s="528"/>
      <c r="B642" s="723" t="s">
        <v>613</v>
      </c>
      <c r="C642" s="692"/>
      <c r="D642" s="693"/>
      <c r="E642" s="693"/>
      <c r="F642" s="693"/>
      <c r="G642" s="724" t="s">
        <v>640</v>
      </c>
    </row>
    <row r="643" spans="1:8" ht="12.75" customHeight="1" x14ac:dyDescent="0.2">
      <c r="A643" s="528"/>
      <c r="B643" s="723" t="s">
        <v>662</v>
      </c>
      <c r="C643" s="692"/>
      <c r="D643" s="693"/>
      <c r="E643" s="693"/>
      <c r="F643" s="693"/>
      <c r="G643" s="724">
        <v>3065</v>
      </c>
    </row>
    <row r="644" spans="1:8" ht="12.75" customHeight="1" x14ac:dyDescent="0.2">
      <c r="A644" s="528"/>
      <c r="B644" s="723" t="s">
        <v>614</v>
      </c>
      <c r="C644" s="692"/>
      <c r="D644" s="693"/>
      <c r="E644" s="693"/>
      <c r="F644" s="693"/>
      <c r="G644" s="724">
        <v>3066</v>
      </c>
    </row>
    <row r="645" spans="1:8" ht="12.75" customHeight="1" x14ac:dyDescent="0.2">
      <c r="A645" s="528"/>
      <c r="B645" s="723" t="s">
        <v>615</v>
      </c>
      <c r="C645" s="692"/>
      <c r="D645" s="693"/>
      <c r="E645" s="693"/>
      <c r="F645" s="693"/>
      <c r="G645" s="724" t="s">
        <v>642</v>
      </c>
      <c r="H645" s="695"/>
    </row>
    <row r="646" spans="1:8" ht="12.75" customHeight="1" x14ac:dyDescent="0.2">
      <c r="A646" s="528"/>
      <c r="B646" s="723" t="s">
        <v>616</v>
      </c>
      <c r="C646" s="692"/>
      <c r="D646" s="693"/>
      <c r="E646" s="693"/>
      <c r="F646" s="693"/>
      <c r="G646" s="724">
        <v>3068</v>
      </c>
      <c r="H646" s="695"/>
    </row>
    <row r="647" spans="1:8" ht="12.75" customHeight="1" x14ac:dyDescent="0.2">
      <c r="A647" s="528"/>
      <c r="B647" s="723" t="s">
        <v>617</v>
      </c>
      <c r="C647" s="692"/>
      <c r="D647" s="693"/>
      <c r="E647" s="693"/>
      <c r="F647" s="693"/>
      <c r="G647" s="724">
        <v>3069</v>
      </c>
      <c r="H647" s="695"/>
    </row>
    <row r="648" spans="1:8" ht="12.75" customHeight="1" x14ac:dyDescent="0.2">
      <c r="A648" s="528"/>
      <c r="B648" s="723" t="s">
        <v>653</v>
      </c>
      <c r="C648" s="692"/>
      <c r="D648" s="693"/>
      <c r="E648" s="693"/>
      <c r="F648" s="693"/>
      <c r="G648" s="724">
        <v>3073</v>
      </c>
    </row>
    <row r="649" spans="1:8" ht="12.75" customHeight="1" x14ac:dyDescent="0.2">
      <c r="A649" s="528"/>
      <c r="B649" s="726" t="s">
        <v>303</v>
      </c>
      <c r="D649" s="693">
        <v>102751.66</v>
      </c>
      <c r="E649" s="725">
        <f>SUM(D649)</f>
        <v>102751.66</v>
      </c>
      <c r="F649" s="693"/>
      <c r="G649" s="683">
        <v>3001</v>
      </c>
      <c r="H649" s="695"/>
    </row>
    <row r="650" spans="1:8" ht="12.75" customHeight="1" x14ac:dyDescent="0.2">
      <c r="A650" s="528"/>
      <c r="B650" s="727" t="s">
        <v>439</v>
      </c>
      <c r="C650" s="697"/>
      <c r="D650" s="693"/>
      <c r="E650" s="725">
        <f>SUM(D651:D656)</f>
        <v>795177.83000000007</v>
      </c>
      <c r="F650" s="693"/>
    </row>
    <row r="651" spans="1:8" ht="12.75" customHeight="1" x14ac:dyDescent="0.2">
      <c r="A651" s="528"/>
      <c r="B651" s="694"/>
      <c r="C651" s="696" t="s">
        <v>304</v>
      </c>
      <c r="D651" s="693">
        <v>108102.54</v>
      </c>
      <c r="E651" s="693"/>
      <c r="F651" s="693"/>
      <c r="G651" s="683">
        <v>4000</v>
      </c>
    </row>
    <row r="652" spans="1:8" ht="12.75" customHeight="1" x14ac:dyDescent="0.2">
      <c r="A652" s="528"/>
      <c r="B652" s="694"/>
      <c r="C652" s="696" t="s">
        <v>305</v>
      </c>
      <c r="D652" s="693">
        <v>218626.87</v>
      </c>
      <c r="E652" s="693"/>
      <c r="F652" s="693"/>
      <c r="G652" s="683">
        <v>4001</v>
      </c>
    </row>
    <row r="653" spans="1:8" ht="12.75" customHeight="1" x14ac:dyDescent="0.2">
      <c r="A653" s="528"/>
      <c r="B653" s="694"/>
      <c r="C653" s="696" t="s">
        <v>306</v>
      </c>
      <c r="D653" s="693">
        <v>230594.7</v>
      </c>
      <c r="E653" s="693"/>
      <c r="F653" s="693"/>
    </row>
    <row r="654" spans="1:8" ht="12.75" customHeight="1" x14ac:dyDescent="0.2">
      <c r="A654" s="528"/>
      <c r="B654" s="694"/>
      <c r="C654" s="696" t="s">
        <v>307</v>
      </c>
      <c r="D654" s="693">
        <v>1672.43</v>
      </c>
      <c r="E654" s="693"/>
      <c r="F654" s="693"/>
    </row>
    <row r="655" spans="1:8" ht="12.75" customHeight="1" x14ac:dyDescent="0.2">
      <c r="A655" s="528"/>
      <c r="B655" s="694"/>
      <c r="C655" s="697" t="s">
        <v>308</v>
      </c>
      <c r="D655" s="693">
        <v>13596.12</v>
      </c>
      <c r="E655" s="693"/>
      <c r="F655" s="693"/>
    </row>
    <row r="656" spans="1:8" ht="12.75" customHeight="1" x14ac:dyDescent="0.2">
      <c r="A656" s="528"/>
      <c r="B656" s="694"/>
      <c r="C656" s="697" t="s">
        <v>121</v>
      </c>
      <c r="D656" s="693">
        <v>222585.17</v>
      </c>
      <c r="E656" s="693"/>
      <c r="F656" s="693"/>
    </row>
    <row r="657" spans="1:8" ht="12.75" customHeight="1" x14ac:dyDescent="0.2">
      <c r="A657" s="698"/>
      <c r="B657" s="699" t="s">
        <v>309</v>
      </c>
      <c r="C657" s="730"/>
      <c r="D657" s="693"/>
      <c r="E657" s="701"/>
      <c r="F657" s="701"/>
    </row>
    <row r="658" spans="1:8" ht="12.75" customHeight="1" x14ac:dyDescent="0.2">
      <c r="A658" s="698"/>
      <c r="B658" s="729" t="s">
        <v>310</v>
      </c>
      <c r="D658" s="693">
        <v>0</v>
      </c>
      <c r="E658" s="728">
        <f>D658</f>
        <v>0</v>
      </c>
      <c r="F658" s="701"/>
      <c r="G658" s="683">
        <v>5000</v>
      </c>
    </row>
    <row r="659" spans="1:8" ht="12.75" customHeight="1" thickBot="1" x14ac:dyDescent="0.25">
      <c r="A659" s="702"/>
      <c r="B659" s="703"/>
      <c r="C659" s="704"/>
      <c r="D659" s="705"/>
      <c r="E659" s="706"/>
      <c r="F659" s="731">
        <f>SUM(E606:E658)</f>
        <v>1343610.9100000001</v>
      </c>
      <c r="H659" s="707">
        <f>'Sched-B1'!B16+'Sched-B2'!E224+'Sched-D1'!F659-3999886.92-294872.03</f>
        <v>0</v>
      </c>
    </row>
    <row r="660" spans="1:8" s="666" customFormat="1" ht="18.75" customHeight="1" thickBot="1" x14ac:dyDescent="0.25">
      <c r="A660" s="909"/>
      <c r="B660" s="910" t="s">
        <v>6</v>
      </c>
      <c r="C660" s="911"/>
      <c r="D660" s="912"/>
      <c r="E660" s="913"/>
      <c r="F660" s="914">
        <f>F659+F605+F555+F501+F447+F398+F345+F296+F242+F190+F138+F89+F44</f>
        <v>34240848.749999993</v>
      </c>
      <c r="H660" s="915"/>
    </row>
    <row r="661" spans="1:8" ht="12.75" customHeight="1" thickTop="1" x14ac:dyDescent="0.2">
      <c r="C661" s="717"/>
    </row>
    <row r="662" spans="1:8" ht="12.75" customHeight="1" x14ac:dyDescent="0.2">
      <c r="A662" s="162" t="s">
        <v>855</v>
      </c>
      <c r="C662" s="717"/>
    </row>
    <row r="663" spans="1:8" x14ac:dyDescent="0.2">
      <c r="C663" s="717"/>
    </row>
    <row r="664" spans="1:8" x14ac:dyDescent="0.2">
      <c r="A664" s="719"/>
      <c r="C664" s="717"/>
      <c r="F664" s="718">
        <f>F660+'Sched-B1'!E17</f>
        <v>180290674.90000001</v>
      </c>
    </row>
    <row r="665" spans="1:8" x14ac:dyDescent="0.2">
      <c r="C665" s="717"/>
    </row>
    <row r="666" spans="1:8" x14ac:dyDescent="0.2">
      <c r="G666" s="683" t="s">
        <v>551</v>
      </c>
    </row>
    <row r="667" spans="1:8" x14ac:dyDescent="0.2">
      <c r="C667" s="717"/>
      <c r="G667" s="683" t="s">
        <v>552</v>
      </c>
    </row>
    <row r="668" spans="1:8" x14ac:dyDescent="0.2">
      <c r="B668" s="717"/>
      <c r="C668" s="717"/>
      <c r="G668" s="683" t="s">
        <v>553</v>
      </c>
    </row>
    <row r="669" spans="1:8" x14ac:dyDescent="0.2">
      <c r="B669" s="717"/>
      <c r="C669" s="717"/>
      <c r="G669" s="683" t="s">
        <v>554</v>
      </c>
    </row>
    <row r="670" spans="1:8" x14ac:dyDescent="0.2">
      <c r="B670" s="687"/>
      <c r="C670" s="687"/>
      <c r="F670" s="720"/>
      <c r="G670" s="683" t="s">
        <v>555</v>
      </c>
    </row>
    <row r="671" spans="1:8" x14ac:dyDescent="0.2">
      <c r="G671" s="683" t="s">
        <v>556</v>
      </c>
    </row>
    <row r="672" spans="1:8" x14ac:dyDescent="0.2">
      <c r="G672" s="683" t="s">
        <v>557</v>
      </c>
    </row>
    <row r="673" spans="6:7" x14ac:dyDescent="0.2">
      <c r="G673" s="683" t="s">
        <v>558</v>
      </c>
    </row>
    <row r="674" spans="6:7" x14ac:dyDescent="0.2">
      <c r="G674" s="683" t="s">
        <v>559</v>
      </c>
    </row>
    <row r="675" spans="6:7" x14ac:dyDescent="0.2">
      <c r="G675" s="683" t="s">
        <v>560</v>
      </c>
    </row>
    <row r="676" spans="6:7" x14ac:dyDescent="0.2">
      <c r="G676" s="683" t="s">
        <v>561</v>
      </c>
    </row>
    <row r="677" spans="6:7" x14ac:dyDescent="0.2">
      <c r="G677" s="683" t="s">
        <v>562</v>
      </c>
    </row>
    <row r="678" spans="6:7" x14ac:dyDescent="0.2">
      <c r="F678" s="718">
        <f>D10+D53+D98+D147+D200+D252+D308+D355+D408+D458+D511+D566+D615</f>
        <v>11224199.999999998</v>
      </c>
      <c r="G678" s="683" t="s">
        <v>672</v>
      </c>
    </row>
    <row r="679" spans="6:7" x14ac:dyDescent="0.2">
      <c r="G679" s="683" t="s">
        <v>563</v>
      </c>
    </row>
    <row r="680" spans="6:7" x14ac:dyDescent="0.2">
      <c r="G680" s="683" t="s">
        <v>564</v>
      </c>
    </row>
    <row r="681" spans="6:7" x14ac:dyDescent="0.2">
      <c r="G681" s="683" t="s">
        <v>565</v>
      </c>
    </row>
    <row r="682" spans="6:7" x14ac:dyDescent="0.2">
      <c r="F682" s="718">
        <f>F680+F681</f>
        <v>0</v>
      </c>
    </row>
  </sheetData>
  <mergeCells count="3">
    <mergeCell ref="B2:C2"/>
    <mergeCell ref="D2:E2"/>
    <mergeCell ref="A1:F1"/>
  </mergeCells>
  <phoneticPr fontId="21" type="noConversion"/>
  <printOptions horizontalCentered="1"/>
  <pageMargins left="0" right="0" top="1.5" bottom="1" header="0.33" footer="0.5"/>
  <pageSetup scale="99" fitToHeight="0" orientation="portrait" r:id="rId1"/>
  <headerFooter alignWithMargins="0">
    <oddHeader>&amp;C&amp;"Arial,Bold"&amp;12DEPARTMENT OF CORRECTIONS
 COST OF CARE Year 2019
(Based on Fiscal Year 2018 Actuals)</oddHeader>
    <oddFooter>&amp;L&amp;8&amp;F &amp;A&amp;R&amp;8&amp;D &amp;T</oddFooter>
  </headerFooter>
  <colBreaks count="1" manualBreakCount="1">
    <brk id="6"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J139"/>
  <sheetViews>
    <sheetView showGridLines="0" zoomScaleNormal="100" workbookViewId="0">
      <pane ySplit="2" topLeftCell="A117" activePane="bottomLeft" state="frozen"/>
      <selection activeCell="B35" sqref="B35"/>
      <selection pane="bottomLeft" activeCell="F112" sqref="F112"/>
    </sheetView>
  </sheetViews>
  <sheetFormatPr defaultColWidth="9.140625" defaultRowHeight="12.75" x14ac:dyDescent="0.2"/>
  <cols>
    <col min="1" max="1" width="22.85546875" style="683" customWidth="1"/>
    <col min="2" max="2" width="9.140625" style="683"/>
    <col min="3" max="3" width="25.28515625" style="683" customWidth="1"/>
    <col min="4" max="4" width="15.140625" style="683" customWidth="1"/>
    <col min="5" max="5" width="15" style="683" customWidth="1"/>
    <col min="6" max="6" width="19.140625" style="683" customWidth="1"/>
    <col min="7" max="7" width="10.140625" style="683" customWidth="1"/>
    <col min="8" max="8" width="15.42578125" style="683" customWidth="1"/>
    <col min="9" max="9" width="12.28515625" style="683" bestFit="1" customWidth="1"/>
    <col min="10" max="10" width="10.5703125" style="683" bestFit="1" customWidth="1"/>
    <col min="11" max="16384" width="9.140625" style="683"/>
  </cols>
  <sheetData>
    <row r="1" spans="1:9" ht="29.25" customHeight="1" thickBot="1" x14ac:dyDescent="0.25">
      <c r="A1" s="989" t="s">
        <v>111</v>
      </c>
      <c r="B1" s="989"/>
      <c r="C1" s="989"/>
      <c r="D1" s="989"/>
      <c r="E1" s="989"/>
      <c r="F1" s="989"/>
    </row>
    <row r="2" spans="1:9" ht="36.75" customHeight="1" thickTop="1" thickBot="1" x14ac:dyDescent="0.25">
      <c r="A2" s="737" t="s">
        <v>1</v>
      </c>
      <c r="B2" s="998" t="s">
        <v>48</v>
      </c>
      <c r="C2" s="999"/>
      <c r="D2" s="990" t="s">
        <v>4</v>
      </c>
      <c r="E2" s="991"/>
      <c r="F2" s="738" t="s">
        <v>26</v>
      </c>
      <c r="G2" s="686" t="s">
        <v>589</v>
      </c>
      <c r="H2" s="687"/>
    </row>
    <row r="3" spans="1:9" ht="15" customHeight="1" thickTop="1" x14ac:dyDescent="0.2">
      <c r="A3" s="739" t="s">
        <v>682</v>
      </c>
      <c r="B3" s="1000" t="s">
        <v>223</v>
      </c>
      <c r="C3" s="1001"/>
      <c r="D3" s="740"/>
      <c r="E3" s="741">
        <v>0</v>
      </c>
      <c r="F3" s="742"/>
    </row>
    <row r="4" spans="1:9" x14ac:dyDescent="0.2">
      <c r="A4" s="743" t="s">
        <v>681</v>
      </c>
      <c r="B4" s="744" t="s">
        <v>49</v>
      </c>
      <c r="C4" s="745"/>
      <c r="D4" s="715"/>
      <c r="E4" s="691">
        <v>0</v>
      </c>
      <c r="F4" s="691"/>
    </row>
    <row r="5" spans="1:9" x14ac:dyDescent="0.2">
      <c r="A5" s="528"/>
      <c r="B5" s="746" t="s">
        <v>122</v>
      </c>
      <c r="C5" s="692"/>
      <c r="D5" s="693"/>
      <c r="E5" s="725">
        <f>SUM(D6:D10)</f>
        <v>0</v>
      </c>
      <c r="F5" s="693"/>
    </row>
    <row r="6" spans="1:9" x14ac:dyDescent="0.2">
      <c r="A6" s="528"/>
      <c r="B6" s="694"/>
      <c r="C6" s="692" t="s">
        <v>297</v>
      </c>
      <c r="D6" s="693">
        <v>0</v>
      </c>
      <c r="E6" s="693"/>
      <c r="F6" s="693"/>
    </row>
    <row r="7" spans="1:9" x14ac:dyDescent="0.2">
      <c r="A7" s="528"/>
      <c r="B7" s="694"/>
      <c r="C7" s="692" t="s">
        <v>299</v>
      </c>
      <c r="D7" s="693">
        <v>0</v>
      </c>
      <c r="E7" s="693"/>
      <c r="F7" s="693"/>
    </row>
    <row r="8" spans="1:9" x14ac:dyDescent="0.2">
      <c r="A8" s="528"/>
      <c r="B8" s="694"/>
      <c r="C8" s="692" t="s">
        <v>300</v>
      </c>
      <c r="D8" s="693">
        <v>0</v>
      </c>
      <c r="E8" s="693"/>
      <c r="F8" s="693"/>
    </row>
    <row r="9" spans="1:9" x14ac:dyDescent="0.2">
      <c r="A9" s="528"/>
      <c r="B9" s="694"/>
      <c r="C9" s="692" t="s">
        <v>302</v>
      </c>
      <c r="D9" s="693">
        <v>0</v>
      </c>
      <c r="E9" s="693"/>
      <c r="F9" s="693"/>
    </row>
    <row r="10" spans="1:9" x14ac:dyDescent="0.2">
      <c r="A10" s="528"/>
      <c r="B10" s="694"/>
      <c r="C10" s="692" t="s">
        <v>440</v>
      </c>
      <c r="D10" s="693">
        <v>0</v>
      </c>
      <c r="E10" s="693"/>
      <c r="F10" s="693"/>
    </row>
    <row r="11" spans="1:9" x14ac:dyDescent="0.2">
      <c r="A11" s="528"/>
      <c r="B11" s="694"/>
      <c r="C11" s="726" t="s">
        <v>303</v>
      </c>
      <c r="D11" s="693">
        <v>0</v>
      </c>
      <c r="E11" s="725">
        <f>SUM(D11)</f>
        <v>0</v>
      </c>
      <c r="F11" s="693"/>
      <c r="I11" s="695"/>
    </row>
    <row r="12" spans="1:9" x14ac:dyDescent="0.2">
      <c r="A12" s="528"/>
      <c r="B12" s="727" t="s">
        <v>439</v>
      </c>
      <c r="C12" s="697"/>
      <c r="D12" s="693"/>
      <c r="E12" s="725">
        <f>SUM(D13:D15)</f>
        <v>0</v>
      </c>
      <c r="F12" s="693"/>
    </row>
    <row r="13" spans="1:9" x14ac:dyDescent="0.2">
      <c r="A13" s="528"/>
      <c r="B13" s="694"/>
      <c r="C13" s="696" t="s">
        <v>304</v>
      </c>
      <c r="D13" s="693">
        <v>0</v>
      </c>
      <c r="E13" s="693"/>
      <c r="F13" s="693"/>
    </row>
    <row r="14" spans="1:9" x14ac:dyDescent="0.2">
      <c r="A14" s="528"/>
      <c r="B14" s="694"/>
      <c r="C14" s="697" t="s">
        <v>308</v>
      </c>
      <c r="D14" s="693">
        <v>0</v>
      </c>
      <c r="E14" s="693"/>
      <c r="F14" s="693"/>
    </row>
    <row r="15" spans="1:9" x14ac:dyDescent="0.2">
      <c r="A15" s="528"/>
      <c r="B15" s="694"/>
      <c r="C15" s="697" t="s">
        <v>121</v>
      </c>
      <c r="D15" s="693">
        <v>0</v>
      </c>
      <c r="E15" s="693"/>
      <c r="F15" s="693"/>
    </row>
    <row r="16" spans="1:9" x14ac:dyDescent="0.2">
      <c r="A16" s="528"/>
      <c r="B16" s="747" t="s">
        <v>309</v>
      </c>
      <c r="C16" s="700"/>
      <c r="D16" s="711">
        <v>0</v>
      </c>
      <c r="E16" s="701">
        <f>SUM(D16)</f>
        <v>0</v>
      </c>
      <c r="F16" s="693"/>
    </row>
    <row r="17" spans="1:8" ht="13.5" thickBot="1" x14ac:dyDescent="0.25">
      <c r="A17" s="748"/>
      <c r="B17" s="749"/>
      <c r="C17" s="750"/>
      <c r="D17" s="716"/>
      <c r="E17" s="709"/>
      <c r="F17" s="751">
        <f>SUM(E3:E16)</f>
        <v>0</v>
      </c>
      <c r="H17" s="707">
        <f>F17-0</f>
        <v>0</v>
      </c>
    </row>
    <row r="18" spans="1:8" ht="13.5" thickTop="1" x14ac:dyDescent="0.2">
      <c r="A18" s="752" t="s">
        <v>389</v>
      </c>
      <c r="B18" s="994" t="s">
        <v>223</v>
      </c>
      <c r="C18" s="995"/>
      <c r="D18" s="740"/>
      <c r="E18" s="741">
        <f>331676.98+187047.53+667.22</f>
        <v>519391.73</v>
      </c>
      <c r="F18" s="742"/>
      <c r="G18" s="683" t="s">
        <v>874</v>
      </c>
    </row>
    <row r="19" spans="1:8" x14ac:dyDescent="0.2">
      <c r="A19" s="743"/>
      <c r="B19" s="744" t="s">
        <v>49</v>
      </c>
      <c r="C19" s="745"/>
      <c r="D19" s="715">
        <v>0</v>
      </c>
      <c r="E19" s="691"/>
      <c r="F19" s="691"/>
    </row>
    <row r="20" spans="1:8" x14ac:dyDescent="0.2">
      <c r="A20" s="528"/>
      <c r="B20" s="721" t="s">
        <v>590</v>
      </c>
      <c r="C20" s="692"/>
      <c r="D20" s="693">
        <v>4532.6099999999997</v>
      </c>
      <c r="E20" s="725">
        <f>SUM(D20:D23)</f>
        <v>4532.6099999999997</v>
      </c>
      <c r="F20" s="693"/>
    </row>
    <row r="21" spans="1:8" x14ac:dyDescent="0.2">
      <c r="A21" s="528"/>
      <c r="B21" s="723" t="s">
        <v>595</v>
      </c>
      <c r="C21" s="692"/>
      <c r="D21" s="693">
        <v>0</v>
      </c>
      <c r="E21" s="693"/>
      <c r="F21" s="693"/>
      <c r="G21" s="683">
        <v>3019</v>
      </c>
    </row>
    <row r="22" spans="1:8" x14ac:dyDescent="0.2">
      <c r="A22" s="528"/>
      <c r="B22" s="723" t="s">
        <v>597</v>
      </c>
      <c r="C22" s="692"/>
      <c r="D22" s="693">
        <v>0</v>
      </c>
      <c r="E22" s="693"/>
      <c r="F22" s="693"/>
      <c r="G22" s="683">
        <v>3033</v>
      </c>
    </row>
    <row r="23" spans="1:8" x14ac:dyDescent="0.2">
      <c r="A23" s="528"/>
      <c r="B23" s="723" t="s">
        <v>617</v>
      </c>
      <c r="C23" s="692"/>
      <c r="D23" s="693">
        <v>0</v>
      </c>
      <c r="E23" s="693"/>
      <c r="F23" s="693"/>
      <c r="G23" s="683">
        <v>3069</v>
      </c>
    </row>
    <row r="24" spans="1:8" x14ac:dyDescent="0.2">
      <c r="A24" s="528"/>
      <c r="B24" s="726" t="s">
        <v>303</v>
      </c>
      <c r="C24" s="726"/>
      <c r="D24" s="693">
        <v>36954.980000000003</v>
      </c>
      <c r="E24" s="725">
        <f>SUM(D24)</f>
        <v>36954.980000000003</v>
      </c>
      <c r="F24" s="693"/>
    </row>
    <row r="25" spans="1:8" x14ac:dyDescent="0.2">
      <c r="A25" s="528"/>
      <c r="B25" s="727" t="s">
        <v>439</v>
      </c>
      <c r="C25" s="697"/>
      <c r="D25" s="693"/>
      <c r="E25" s="725">
        <f>D26+D27</f>
        <v>0</v>
      </c>
      <c r="F25" s="693"/>
    </row>
    <row r="26" spans="1:8" x14ac:dyDescent="0.2">
      <c r="A26" s="528"/>
      <c r="B26" s="694"/>
      <c r="C26" s="696" t="s">
        <v>304</v>
      </c>
      <c r="D26" s="693">
        <v>0</v>
      </c>
      <c r="E26" s="693"/>
      <c r="F26" s="693"/>
    </row>
    <row r="27" spans="1:8" x14ac:dyDescent="0.2">
      <c r="A27" s="528"/>
      <c r="B27" s="694"/>
      <c r="C27" s="696" t="s">
        <v>121</v>
      </c>
      <c r="D27" s="693">
        <v>0</v>
      </c>
      <c r="E27" s="693"/>
      <c r="F27" s="693"/>
    </row>
    <row r="28" spans="1:8" ht="13.5" thickBot="1" x14ac:dyDescent="0.25">
      <c r="A28" s="748"/>
      <c r="B28" s="749"/>
      <c r="C28" s="750"/>
      <c r="D28" s="753"/>
      <c r="E28" s="706"/>
      <c r="F28" s="751">
        <f>SUM(E18:E27)</f>
        <v>560879.31999999995</v>
      </c>
      <c r="G28" s="695"/>
      <c r="H28" s="707">
        <f>F28-560879.32</f>
        <v>0</v>
      </c>
    </row>
    <row r="29" spans="1:8" ht="15" customHeight="1" x14ac:dyDescent="0.2">
      <c r="A29" s="754" t="s">
        <v>674</v>
      </c>
      <c r="B29" s="996" t="s">
        <v>223</v>
      </c>
      <c r="C29" s="997"/>
      <c r="D29" s="691"/>
      <c r="E29" s="755">
        <f>18364334.87+9573066.29+41180.42</f>
        <v>27978581.580000002</v>
      </c>
      <c r="F29" s="756"/>
      <c r="H29" s="683" t="s">
        <v>875</v>
      </c>
    </row>
    <row r="30" spans="1:8" x14ac:dyDescent="0.2">
      <c r="A30" s="743" t="s">
        <v>673</v>
      </c>
      <c r="B30" s="744" t="s">
        <v>801</v>
      </c>
      <c r="C30" s="745"/>
      <c r="D30" s="715"/>
      <c r="E30" s="691">
        <f>226369.63+22453.4+22968.98</f>
        <v>271792.01</v>
      </c>
      <c r="F30" s="691"/>
    </row>
    <row r="31" spans="1:8" x14ac:dyDescent="0.2">
      <c r="A31" s="528"/>
      <c r="B31" s="721" t="s">
        <v>590</v>
      </c>
      <c r="C31" s="692"/>
      <c r="D31" s="693">
        <v>24055987.07</v>
      </c>
      <c r="E31" s="725">
        <f>D31</f>
        <v>24055987.07</v>
      </c>
      <c r="F31" s="693"/>
      <c r="G31" s="683">
        <v>3000</v>
      </c>
    </row>
    <row r="32" spans="1:8" x14ac:dyDescent="0.2">
      <c r="A32" s="528"/>
      <c r="B32" s="726" t="s">
        <v>303</v>
      </c>
      <c r="C32" s="726"/>
      <c r="D32" s="693">
        <v>1811583.52</v>
      </c>
      <c r="E32" s="725">
        <f>D32</f>
        <v>1811583.52</v>
      </c>
      <c r="F32" s="693"/>
    </row>
    <row r="33" spans="1:10" x14ac:dyDescent="0.2">
      <c r="A33" s="528"/>
      <c r="B33" s="727" t="s">
        <v>439</v>
      </c>
      <c r="C33" s="697"/>
      <c r="D33" s="693"/>
      <c r="E33" s="725">
        <f>SUM(D34:D38)</f>
        <v>3807976.8499999996</v>
      </c>
      <c r="F33" s="693"/>
    </row>
    <row r="34" spans="1:10" x14ac:dyDescent="0.2">
      <c r="A34" s="528"/>
      <c r="B34" s="694"/>
      <c r="C34" s="696" t="s">
        <v>304</v>
      </c>
      <c r="D34" s="693">
        <v>202034.94</v>
      </c>
      <c r="E34" s="693"/>
      <c r="F34" s="693"/>
    </row>
    <row r="35" spans="1:10" x14ac:dyDescent="0.2">
      <c r="A35" s="528"/>
      <c r="B35" s="694"/>
      <c r="C35" s="696" t="s">
        <v>306</v>
      </c>
      <c r="D35" s="693">
        <v>3408.36</v>
      </c>
      <c r="E35" s="693"/>
      <c r="F35" s="693"/>
    </row>
    <row r="36" spans="1:10" x14ac:dyDescent="0.2">
      <c r="A36" s="528"/>
      <c r="B36" s="694"/>
      <c r="C36" s="696" t="s">
        <v>307</v>
      </c>
      <c r="D36" s="693">
        <v>3593194.8</v>
      </c>
      <c r="E36" s="693"/>
      <c r="F36" s="693"/>
    </row>
    <row r="37" spans="1:10" x14ac:dyDescent="0.2">
      <c r="A37" s="528"/>
      <c r="B37" s="694"/>
      <c r="C37" s="696" t="s">
        <v>308</v>
      </c>
      <c r="D37" s="693">
        <v>0</v>
      </c>
      <c r="E37" s="693"/>
      <c r="F37" s="693"/>
    </row>
    <row r="38" spans="1:10" x14ac:dyDescent="0.2">
      <c r="A38" s="528"/>
      <c r="B38" s="694"/>
      <c r="C38" s="696" t="s">
        <v>121</v>
      </c>
      <c r="D38" s="693">
        <v>9338.75</v>
      </c>
      <c r="E38" s="693"/>
      <c r="F38" s="693"/>
    </row>
    <row r="39" spans="1:10" x14ac:dyDescent="0.2">
      <c r="A39" s="528"/>
      <c r="B39" s="1006" t="s">
        <v>309</v>
      </c>
      <c r="C39" s="1007"/>
      <c r="D39" s="711">
        <v>0</v>
      </c>
      <c r="E39" s="728">
        <f>SUM(D39)</f>
        <v>0</v>
      </c>
      <c r="F39" s="701"/>
    </row>
    <row r="40" spans="1:10" x14ac:dyDescent="0.2">
      <c r="A40" s="528"/>
      <c r="B40" s="699" t="s">
        <v>876</v>
      </c>
      <c r="C40" s="700"/>
      <c r="D40" s="693"/>
      <c r="E40" s="696">
        <v>0</v>
      </c>
      <c r="F40" s="701"/>
    </row>
    <row r="41" spans="1:10" x14ac:dyDescent="0.2">
      <c r="A41" s="528"/>
      <c r="B41" s="1002" t="s">
        <v>877</v>
      </c>
      <c r="C41" s="1003"/>
      <c r="D41" s="693"/>
      <c r="E41" s="777">
        <f>-64559</f>
        <v>-64559</v>
      </c>
      <c r="F41" s="725"/>
      <c r="H41" s="717"/>
    </row>
    <row r="42" spans="1:10" x14ac:dyDescent="0.2">
      <c r="A42" s="528"/>
      <c r="B42" s="1002" t="s">
        <v>878</v>
      </c>
      <c r="C42" s="1003"/>
      <c r="D42" s="693"/>
      <c r="E42" s="696">
        <v>-52400</v>
      </c>
      <c r="F42" s="725"/>
      <c r="H42" s="712"/>
    </row>
    <row r="43" spans="1:10" x14ac:dyDescent="0.2">
      <c r="A43" s="528"/>
      <c r="B43" s="1002" t="s">
        <v>879</v>
      </c>
      <c r="C43" s="1003"/>
      <c r="D43" s="693"/>
      <c r="E43" s="696">
        <f>-70800-45776.99</f>
        <v>-116576.98999999999</v>
      </c>
      <c r="F43" s="725"/>
      <c r="H43" s="712"/>
    </row>
    <row r="44" spans="1:10" x14ac:dyDescent="0.2">
      <c r="A44" s="528"/>
      <c r="B44" s="916"/>
      <c r="C44" s="691"/>
      <c r="D44" s="693"/>
      <c r="E44" s="696"/>
      <c r="F44" s="725"/>
      <c r="H44" s="717">
        <f>45776.99+70800+64559+52400</f>
        <v>233535.99</v>
      </c>
      <c r="I44" s="683" t="s">
        <v>677</v>
      </c>
    </row>
    <row r="45" spans="1:10" ht="13.5" thickBot="1" x14ac:dyDescent="0.25">
      <c r="A45" s="528"/>
      <c r="B45" s="757"/>
      <c r="C45" s="716"/>
      <c r="D45" s="709"/>
      <c r="E45" s="758"/>
      <c r="F45" s="751">
        <f>SUM(E29:E45)</f>
        <v>57692385.040000007</v>
      </c>
      <c r="H45" s="713">
        <f>F45+H44</f>
        <v>57925921.030000009</v>
      </c>
      <c r="I45" s="683" t="s">
        <v>884</v>
      </c>
      <c r="J45" s="759"/>
    </row>
    <row r="46" spans="1:10" x14ac:dyDescent="0.2">
      <c r="A46" s="760" t="s">
        <v>474</v>
      </c>
      <c r="B46" s="996" t="s">
        <v>223</v>
      </c>
      <c r="C46" s="997"/>
      <c r="D46" s="761"/>
      <c r="E46" s="755">
        <f>199373.6+122399.38+312.05</f>
        <v>322085.02999999997</v>
      </c>
      <c r="F46" s="756"/>
      <c r="H46" s="695"/>
    </row>
    <row r="47" spans="1:10" x14ac:dyDescent="0.2">
      <c r="A47" s="762" t="s">
        <v>524</v>
      </c>
      <c r="B47" s="744" t="s">
        <v>801</v>
      </c>
      <c r="C47" s="745"/>
      <c r="D47" s="715"/>
      <c r="E47" s="691">
        <f>3064.75</f>
        <v>3064.75</v>
      </c>
      <c r="F47" s="691"/>
      <c r="H47" s="759"/>
    </row>
    <row r="48" spans="1:10" x14ac:dyDescent="0.2">
      <c r="A48" s="528"/>
      <c r="B48" s="721" t="s">
        <v>590</v>
      </c>
      <c r="C48" s="692"/>
      <c r="D48" s="693">
        <v>671861.46</v>
      </c>
      <c r="E48" s="725">
        <f>D48</f>
        <v>671861.46</v>
      </c>
      <c r="F48" s="693"/>
      <c r="G48" s="683">
        <v>3000</v>
      </c>
    </row>
    <row r="49" spans="1:9" x14ac:dyDescent="0.2">
      <c r="A49" s="528"/>
      <c r="B49" s="726" t="s">
        <v>303</v>
      </c>
      <c r="C49" s="726"/>
      <c r="D49" s="693">
        <v>31512.52</v>
      </c>
      <c r="E49" s="725">
        <f>D49</f>
        <v>31512.52</v>
      </c>
      <c r="F49" s="693"/>
    </row>
    <row r="50" spans="1:9" x14ac:dyDescent="0.2">
      <c r="A50" s="528"/>
      <c r="B50" s="727" t="s">
        <v>439</v>
      </c>
      <c r="C50" s="697"/>
      <c r="D50" s="693"/>
      <c r="E50" s="725">
        <f>SUM(D51:D56)</f>
        <v>308957.57</v>
      </c>
      <c r="F50" s="693"/>
    </row>
    <row r="51" spans="1:9" x14ac:dyDescent="0.2">
      <c r="A51" s="528"/>
      <c r="B51" s="694"/>
      <c r="C51" s="696" t="s">
        <v>304</v>
      </c>
      <c r="D51" s="693">
        <v>200573.1</v>
      </c>
      <c r="E51" s="693"/>
      <c r="F51" s="693"/>
    </row>
    <row r="52" spans="1:9" x14ac:dyDescent="0.2">
      <c r="A52" s="528"/>
      <c r="B52" s="694"/>
      <c r="C52" s="696" t="s">
        <v>305</v>
      </c>
      <c r="D52" s="693">
        <v>0</v>
      </c>
      <c r="E52" s="693"/>
      <c r="F52" s="693"/>
      <c r="G52" s="683">
        <v>4001</v>
      </c>
    </row>
    <row r="53" spans="1:9" x14ac:dyDescent="0.2">
      <c r="A53" s="528"/>
      <c r="B53" s="694"/>
      <c r="C53" s="696" t="s">
        <v>306</v>
      </c>
      <c r="D53" s="693">
        <v>3911.26</v>
      </c>
      <c r="E53" s="693"/>
      <c r="F53" s="693"/>
    </row>
    <row r="54" spans="1:9" ht="12" customHeight="1" x14ac:dyDescent="0.2">
      <c r="A54" s="528"/>
      <c r="B54" s="694"/>
      <c r="C54" s="696" t="s">
        <v>307</v>
      </c>
      <c r="D54" s="693">
        <v>0</v>
      </c>
      <c r="E54" s="693"/>
      <c r="F54" s="693"/>
      <c r="G54" s="683">
        <v>4004</v>
      </c>
    </row>
    <row r="55" spans="1:9" ht="12" customHeight="1" x14ac:dyDescent="0.2">
      <c r="A55" s="528"/>
      <c r="B55" s="694"/>
      <c r="C55" s="696" t="s">
        <v>308</v>
      </c>
      <c r="D55" s="693">
        <v>9870.85</v>
      </c>
      <c r="E55" s="693"/>
      <c r="F55" s="693"/>
      <c r="G55" s="683">
        <v>4004</v>
      </c>
    </row>
    <row r="56" spans="1:9" ht="12" customHeight="1" x14ac:dyDescent="0.2">
      <c r="A56" s="528"/>
      <c r="B56" s="694"/>
      <c r="C56" s="696" t="s">
        <v>121</v>
      </c>
      <c r="D56" s="693">
        <v>94602.36</v>
      </c>
      <c r="E56" s="693"/>
      <c r="F56" s="693"/>
    </row>
    <row r="57" spans="1:9" x14ac:dyDescent="0.2">
      <c r="A57" s="528"/>
      <c r="B57" s="747" t="s">
        <v>309</v>
      </c>
      <c r="C57" s="700"/>
      <c r="D57" s="693">
        <v>160000</v>
      </c>
      <c r="E57" s="728">
        <f>SUM(D57)</f>
        <v>160000</v>
      </c>
      <c r="F57" s="701"/>
    </row>
    <row r="58" spans="1:9" x14ac:dyDescent="0.2">
      <c r="A58" s="528"/>
      <c r="B58" s="699" t="s">
        <v>939</v>
      </c>
      <c r="C58" s="700"/>
      <c r="D58" s="693"/>
      <c r="E58" s="778">
        <v>-51855.23</v>
      </c>
      <c r="F58" s="701"/>
    </row>
    <row r="59" spans="1:9" x14ac:dyDescent="0.2">
      <c r="A59" s="528"/>
      <c r="B59" s="1002" t="s">
        <v>880</v>
      </c>
      <c r="C59" s="1003"/>
      <c r="D59" s="711"/>
      <c r="E59" s="778">
        <v>-60000</v>
      </c>
      <c r="F59" s="701"/>
    </row>
    <row r="60" spans="1:9" x14ac:dyDescent="0.2">
      <c r="A60" s="528"/>
      <c r="B60" s="1002" t="s">
        <v>881</v>
      </c>
      <c r="C60" s="1003"/>
      <c r="D60" s="711"/>
      <c r="E60" s="778">
        <v>-3619</v>
      </c>
      <c r="F60" s="701"/>
      <c r="H60" s="717">
        <v>51855.23</v>
      </c>
      <c r="I60" s="683" t="s">
        <v>940</v>
      </c>
    </row>
    <row r="61" spans="1:9" x14ac:dyDescent="0.2">
      <c r="A61" s="528"/>
      <c r="B61" s="1002" t="s">
        <v>882</v>
      </c>
      <c r="C61" s="1003"/>
      <c r="D61" s="693"/>
      <c r="E61" s="778">
        <v>-40000</v>
      </c>
      <c r="F61" s="725"/>
      <c r="G61" s="683">
        <v>70200</v>
      </c>
      <c r="H61" s="695">
        <f>103619</f>
        <v>103619</v>
      </c>
      <c r="I61" s="683" t="s">
        <v>883</v>
      </c>
    </row>
    <row r="62" spans="1:9" ht="13.5" thickBot="1" x14ac:dyDescent="0.25">
      <c r="A62" s="528"/>
      <c r="B62" s="992"/>
      <c r="C62" s="993"/>
      <c r="D62" s="763"/>
      <c r="E62" s="765"/>
      <c r="F62" s="751">
        <f>SUM(E46:E62)</f>
        <v>1342007.1000000001</v>
      </c>
      <c r="G62" s="683">
        <v>70200</v>
      </c>
      <c r="H62" s="953">
        <f>F62+H61+H60</f>
        <v>1497481.33</v>
      </c>
      <c r="I62" s="683" t="s">
        <v>885</v>
      </c>
    </row>
    <row r="63" spans="1:9" ht="13.15" customHeight="1" x14ac:dyDescent="0.2">
      <c r="A63" s="764" t="s">
        <v>886</v>
      </c>
      <c r="B63" s="996" t="s">
        <v>223</v>
      </c>
      <c r="C63" s="997"/>
      <c r="D63" s="761"/>
      <c r="E63" s="761">
        <f>783796.53+469779.4-21649.35</f>
        <v>1231926.58</v>
      </c>
      <c r="F63" s="756"/>
      <c r="H63" s="759"/>
    </row>
    <row r="64" spans="1:9" x14ac:dyDescent="0.2">
      <c r="A64" s="698"/>
      <c r="B64" s="744" t="s">
        <v>49</v>
      </c>
      <c r="C64" s="745"/>
      <c r="D64" s="715"/>
      <c r="E64" s="691">
        <f>33885.93+2955.37</f>
        <v>36841.300000000003</v>
      </c>
      <c r="F64" s="691"/>
      <c r="H64" s="695"/>
    </row>
    <row r="65" spans="1:8" x14ac:dyDescent="0.2">
      <c r="A65" s="528"/>
      <c r="B65" s="721" t="s">
        <v>590</v>
      </c>
      <c r="C65" s="692"/>
      <c r="D65" s="693">
        <v>86386.99</v>
      </c>
      <c r="E65" s="725">
        <f>D65</f>
        <v>86386.99</v>
      </c>
      <c r="F65" s="693"/>
      <c r="H65" s="695"/>
    </row>
    <row r="66" spans="1:8" x14ac:dyDescent="0.2">
      <c r="A66" s="528"/>
      <c r="B66" s="726" t="s">
        <v>303</v>
      </c>
      <c r="C66" s="726"/>
      <c r="D66" s="693">
        <v>321547.08</v>
      </c>
      <c r="E66" s="725">
        <f>D66</f>
        <v>321547.08</v>
      </c>
      <c r="F66" s="725"/>
      <c r="H66" s="717"/>
    </row>
    <row r="67" spans="1:8" x14ac:dyDescent="0.2">
      <c r="A67" s="528"/>
      <c r="B67" s="727" t="s">
        <v>439</v>
      </c>
      <c r="C67" s="697"/>
      <c r="D67" s="693"/>
      <c r="E67" s="725">
        <f>SUM(D68:D70)</f>
        <v>36252.490000000005</v>
      </c>
      <c r="F67" s="693"/>
    </row>
    <row r="68" spans="1:8" x14ac:dyDescent="0.2">
      <c r="A68" s="762"/>
      <c r="B68" s="694"/>
      <c r="C68" s="692" t="s">
        <v>304</v>
      </c>
      <c r="D68" s="693">
        <v>36118.93</v>
      </c>
      <c r="E68" s="693"/>
      <c r="F68" s="693"/>
      <c r="G68" s="683">
        <v>4000</v>
      </c>
    </row>
    <row r="69" spans="1:8" x14ac:dyDescent="0.2">
      <c r="A69" s="528"/>
      <c r="B69" s="694"/>
      <c r="C69" s="692" t="s">
        <v>306</v>
      </c>
      <c r="D69" s="693">
        <v>112.8</v>
      </c>
      <c r="E69" s="693"/>
      <c r="F69" s="693"/>
      <c r="G69" s="683">
        <v>4002</v>
      </c>
    </row>
    <row r="70" spans="1:8" x14ac:dyDescent="0.2">
      <c r="A70" s="528"/>
      <c r="B70" s="699"/>
      <c r="C70" s="779" t="s">
        <v>121</v>
      </c>
      <c r="D70" s="693">
        <v>20.76</v>
      </c>
      <c r="E70" s="701"/>
      <c r="F70" s="693"/>
      <c r="G70" s="683">
        <v>4005</v>
      </c>
    </row>
    <row r="71" spans="1:8" x14ac:dyDescent="0.2">
      <c r="A71" s="528"/>
      <c r="B71" s="747" t="s">
        <v>309</v>
      </c>
      <c r="C71" s="700"/>
      <c r="D71" s="693">
        <v>0</v>
      </c>
      <c r="E71" s="728">
        <f>SUM(D71)</f>
        <v>0</v>
      </c>
      <c r="F71" s="693"/>
    </row>
    <row r="72" spans="1:8" ht="13.5" thickBot="1" x14ac:dyDescent="0.25">
      <c r="A72" s="698"/>
      <c r="B72" s="703"/>
      <c r="C72" s="704"/>
      <c r="D72" s="705"/>
      <c r="E72" s="706"/>
      <c r="F72" s="751">
        <f>SUM(E63:E71)</f>
        <v>1712954.4400000002</v>
      </c>
      <c r="H72" s="707">
        <f>F72-1712954.44</f>
        <v>0</v>
      </c>
    </row>
    <row r="73" spans="1:8" ht="13.15" customHeight="1" x14ac:dyDescent="0.2">
      <c r="A73" s="760" t="s">
        <v>313</v>
      </c>
      <c r="B73" s="996" t="s">
        <v>223</v>
      </c>
      <c r="C73" s="997"/>
      <c r="D73" s="761"/>
      <c r="E73" s="761">
        <f>656006.53+396488.01+1845.25</f>
        <v>1054339.79</v>
      </c>
      <c r="F73" s="756"/>
      <c r="H73" s="759"/>
    </row>
    <row r="74" spans="1:8" x14ac:dyDescent="0.2">
      <c r="A74" s="698"/>
      <c r="B74" s="744" t="s">
        <v>49</v>
      </c>
      <c r="C74" s="745"/>
      <c r="D74" s="715"/>
      <c r="E74" s="691">
        <v>933.99</v>
      </c>
      <c r="F74" s="691"/>
    </row>
    <row r="75" spans="1:8" x14ac:dyDescent="0.2">
      <c r="A75" s="528"/>
      <c r="B75" s="721" t="s">
        <v>590</v>
      </c>
      <c r="C75" s="692"/>
      <c r="D75" s="693">
        <v>3808.65</v>
      </c>
      <c r="E75" s="725">
        <f>D75</f>
        <v>3808.65</v>
      </c>
      <c r="F75" s="693"/>
    </row>
    <row r="76" spans="1:8" x14ac:dyDescent="0.2">
      <c r="A76" s="528"/>
      <c r="B76" s="726" t="s">
        <v>303</v>
      </c>
      <c r="C76" s="726"/>
      <c r="D76" s="693">
        <v>23743.52</v>
      </c>
      <c r="E76" s="725">
        <f>D76</f>
        <v>23743.52</v>
      </c>
      <c r="F76" s="725"/>
      <c r="H76" s="717"/>
    </row>
    <row r="77" spans="1:8" x14ac:dyDescent="0.2">
      <c r="A77" s="528"/>
      <c r="B77" s="727" t="s">
        <v>439</v>
      </c>
      <c r="C77" s="697"/>
      <c r="D77" s="693"/>
      <c r="E77" s="725">
        <f>SUM(D78:D80)</f>
        <v>820.77</v>
      </c>
      <c r="F77" s="693"/>
    </row>
    <row r="78" spans="1:8" x14ac:dyDescent="0.2">
      <c r="A78" s="762"/>
      <c r="B78" s="694"/>
      <c r="C78" s="692" t="s">
        <v>304</v>
      </c>
      <c r="D78" s="693">
        <v>820.77</v>
      </c>
      <c r="E78" s="693"/>
      <c r="F78" s="693"/>
      <c r="G78" s="683">
        <v>4000</v>
      </c>
    </row>
    <row r="79" spans="1:8" x14ac:dyDescent="0.2">
      <c r="A79" s="528"/>
      <c r="B79" s="694"/>
      <c r="C79" s="692" t="s">
        <v>306</v>
      </c>
      <c r="D79" s="693">
        <v>0</v>
      </c>
      <c r="E79" s="693"/>
      <c r="F79" s="693"/>
      <c r="G79" s="683">
        <v>4002</v>
      </c>
    </row>
    <row r="80" spans="1:8" x14ac:dyDescent="0.2">
      <c r="A80" s="528"/>
      <c r="B80" s="699"/>
      <c r="C80" s="779" t="s">
        <v>678</v>
      </c>
      <c r="D80" s="693">
        <v>0</v>
      </c>
      <c r="E80" s="701"/>
      <c r="F80" s="693"/>
      <c r="G80" s="683">
        <v>4005</v>
      </c>
    </row>
    <row r="81" spans="1:9" x14ac:dyDescent="0.2">
      <c r="A81" s="528"/>
      <c r="B81" s="747" t="s">
        <v>309</v>
      </c>
      <c r="C81" s="700"/>
      <c r="D81" s="693">
        <v>0</v>
      </c>
      <c r="E81" s="728">
        <f>SUM(D81)</f>
        <v>0</v>
      </c>
      <c r="F81" s="693"/>
    </row>
    <row r="82" spans="1:9" ht="13.5" thickBot="1" x14ac:dyDescent="0.25">
      <c r="A82" s="702"/>
      <c r="B82" s="703"/>
      <c r="C82" s="704"/>
      <c r="D82" s="705"/>
      <c r="E82" s="706"/>
      <c r="F82" s="751">
        <f>SUM(E73:E81)</f>
        <v>1083646.72</v>
      </c>
      <c r="H82" s="707">
        <f>F82-1083646.72</f>
        <v>0</v>
      </c>
    </row>
    <row r="83" spans="1:9" ht="13.15" customHeight="1" x14ac:dyDescent="0.2">
      <c r="A83" s="743" t="s">
        <v>54</v>
      </c>
      <c r="B83" s="996" t="s">
        <v>223</v>
      </c>
      <c r="C83" s="997"/>
      <c r="D83" s="761"/>
      <c r="E83" s="755">
        <f>1408628.06+718681.43+331.45</f>
        <v>2127640.9400000004</v>
      </c>
      <c r="F83" s="756"/>
    </row>
    <row r="84" spans="1:9" x14ac:dyDescent="0.2">
      <c r="A84" s="528"/>
      <c r="B84" s="744" t="s">
        <v>49</v>
      </c>
      <c r="C84" s="745"/>
      <c r="D84" s="715"/>
      <c r="E84" s="691">
        <f>58403.1+30880.34</f>
        <v>89283.44</v>
      </c>
      <c r="F84" s="691"/>
    </row>
    <row r="85" spans="1:9" x14ac:dyDescent="0.2">
      <c r="A85" s="528"/>
      <c r="B85" s="721" t="s">
        <v>590</v>
      </c>
      <c r="C85" s="692"/>
      <c r="D85" s="693">
        <v>185504.21</v>
      </c>
      <c r="E85" s="725">
        <f>D85</f>
        <v>185504.21</v>
      </c>
      <c r="F85" s="693"/>
    </row>
    <row r="86" spans="1:9" x14ac:dyDescent="0.2">
      <c r="A86" s="528"/>
      <c r="B86" s="726" t="s">
        <v>303</v>
      </c>
      <c r="C86" s="692"/>
      <c r="D86" s="693">
        <v>211360.21</v>
      </c>
      <c r="E86" s="725">
        <f>D86</f>
        <v>211360.21</v>
      </c>
      <c r="F86" s="693"/>
    </row>
    <row r="87" spans="1:9" x14ac:dyDescent="0.2">
      <c r="A87" s="528"/>
      <c r="B87" s="727" t="s">
        <v>439</v>
      </c>
      <c r="C87" s="692"/>
      <c r="D87" s="693"/>
      <c r="E87" s="725">
        <f>SUM(D88:D92)</f>
        <v>16201.91</v>
      </c>
      <c r="F87" s="693"/>
    </row>
    <row r="88" spans="1:9" x14ac:dyDescent="0.2">
      <c r="A88" s="528"/>
      <c r="B88" s="694"/>
      <c r="C88" s="692" t="s">
        <v>304</v>
      </c>
      <c r="D88" s="693">
        <v>1437.52</v>
      </c>
      <c r="E88" s="693"/>
      <c r="F88" s="693"/>
    </row>
    <row r="89" spans="1:9" x14ac:dyDescent="0.2">
      <c r="A89" s="528"/>
      <c r="B89" s="694"/>
      <c r="C89" s="692" t="s">
        <v>306</v>
      </c>
      <c r="D89" s="693">
        <v>1628.18</v>
      </c>
      <c r="E89" s="693"/>
      <c r="F89" s="693"/>
    </row>
    <row r="90" spans="1:9" x14ac:dyDescent="0.2">
      <c r="A90" s="528"/>
      <c r="B90" s="694"/>
      <c r="C90" s="779" t="s">
        <v>678</v>
      </c>
      <c r="D90" s="693">
        <v>0</v>
      </c>
      <c r="E90" s="693"/>
      <c r="F90" s="693"/>
    </row>
    <row r="91" spans="1:9" x14ac:dyDescent="0.2">
      <c r="A91" s="528"/>
      <c r="B91" s="694"/>
      <c r="C91" s="779" t="s">
        <v>308</v>
      </c>
      <c r="D91" s="693">
        <v>9033.25</v>
      </c>
      <c r="E91" s="693"/>
      <c r="F91" s="693"/>
    </row>
    <row r="92" spans="1:9" x14ac:dyDescent="0.2">
      <c r="A92" s="528"/>
      <c r="B92" s="694"/>
      <c r="C92" s="779" t="s">
        <v>121</v>
      </c>
      <c r="D92" s="693">
        <v>4102.96</v>
      </c>
      <c r="E92" s="693"/>
      <c r="F92" s="693"/>
    </row>
    <row r="93" spans="1:9" x14ac:dyDescent="0.2">
      <c r="A93" s="528"/>
      <c r="B93" s="747" t="s">
        <v>309</v>
      </c>
      <c r="C93" s="700"/>
      <c r="D93" s="693">
        <v>0</v>
      </c>
      <c r="E93" s="728">
        <f>SUM(D93)</f>
        <v>0</v>
      </c>
      <c r="F93" s="693"/>
      <c r="H93" s="717">
        <v>140000</v>
      </c>
      <c r="I93" s="683" t="s">
        <v>802</v>
      </c>
    </row>
    <row r="94" spans="1:9" ht="13.5" thickBot="1" x14ac:dyDescent="0.25">
      <c r="A94" s="702"/>
      <c r="B94" s="1004" t="s">
        <v>887</v>
      </c>
      <c r="C94" s="1005"/>
      <c r="D94" s="706"/>
      <c r="E94" s="765">
        <v>-140000</v>
      </c>
      <c r="F94" s="751">
        <f>SUM(E83:E94)</f>
        <v>2489990.7100000004</v>
      </c>
      <c r="H94" s="707">
        <f>F94-2629990.71+140000</f>
        <v>4.6566128730773926E-10</v>
      </c>
    </row>
    <row r="95" spans="1:9" ht="13.15" customHeight="1" x14ac:dyDescent="0.2">
      <c r="A95" s="766" t="s">
        <v>314</v>
      </c>
      <c r="B95" s="996" t="s">
        <v>223</v>
      </c>
      <c r="C95" s="997"/>
      <c r="D95" s="761"/>
      <c r="E95" s="714">
        <v>0</v>
      </c>
      <c r="F95" s="756"/>
      <c r="G95" s="683">
        <v>1000</v>
      </c>
    </row>
    <row r="96" spans="1:9" x14ac:dyDescent="0.2">
      <c r="A96" s="528"/>
      <c r="B96" s="744" t="s">
        <v>49</v>
      </c>
      <c r="C96" s="745"/>
      <c r="D96" s="715"/>
      <c r="E96" s="691">
        <v>469807.24</v>
      </c>
      <c r="F96" s="691"/>
      <c r="G96" s="683">
        <v>2000</v>
      </c>
    </row>
    <row r="97" spans="1:8" x14ac:dyDescent="0.2">
      <c r="A97" s="528"/>
      <c r="B97" s="721" t="s">
        <v>590</v>
      </c>
      <c r="C97" s="692"/>
      <c r="D97" s="693">
        <v>12536.78</v>
      </c>
      <c r="E97" s="693">
        <f>D97</f>
        <v>12536.78</v>
      </c>
      <c r="F97" s="693"/>
      <c r="G97" s="683">
        <v>3000</v>
      </c>
    </row>
    <row r="98" spans="1:8" x14ac:dyDescent="0.2">
      <c r="A98" s="528"/>
      <c r="B98" s="726" t="s">
        <v>303</v>
      </c>
      <c r="C98" s="726"/>
      <c r="D98" s="693">
        <v>0</v>
      </c>
      <c r="E98" s="725">
        <f>SUM(D98)</f>
        <v>0</v>
      </c>
      <c r="F98" s="693"/>
    </row>
    <row r="99" spans="1:8" x14ac:dyDescent="0.2">
      <c r="A99" s="698"/>
      <c r="B99" s="747" t="s">
        <v>309</v>
      </c>
      <c r="C99" s="780"/>
      <c r="D99" s="693">
        <v>0</v>
      </c>
      <c r="E99" s="728">
        <f>D99</f>
        <v>0</v>
      </c>
      <c r="F99" s="693"/>
    </row>
    <row r="100" spans="1:8" ht="13.5" thickBot="1" x14ac:dyDescent="0.25">
      <c r="A100" s="702"/>
      <c r="B100" s="703"/>
      <c r="C100" s="704"/>
      <c r="D100" s="705"/>
      <c r="E100" s="706"/>
      <c r="F100" s="751">
        <f>SUM(E96:E100)</f>
        <v>482344.02</v>
      </c>
      <c r="H100" s="707">
        <f>F100-482344.02</f>
        <v>0</v>
      </c>
    </row>
    <row r="101" spans="1:8" ht="13.15" customHeight="1" x14ac:dyDescent="0.2">
      <c r="A101" s="766" t="s">
        <v>804</v>
      </c>
      <c r="B101" s="996" t="s">
        <v>223</v>
      </c>
      <c r="C101" s="997"/>
      <c r="D101" s="761"/>
      <c r="E101" s="714">
        <f>1968958.84+1257441.97-5097.9</f>
        <v>3221302.91</v>
      </c>
      <c r="F101" s="756"/>
      <c r="G101" s="683">
        <v>1000</v>
      </c>
    </row>
    <row r="102" spans="1:8" x14ac:dyDescent="0.2">
      <c r="A102" s="528"/>
      <c r="B102" s="744" t="s">
        <v>49</v>
      </c>
      <c r="C102" s="745"/>
      <c r="D102" s="715">
        <f>125545.42+98.57+4</f>
        <v>125647.99</v>
      </c>
      <c r="E102" s="859">
        <f>D102</f>
        <v>125647.99</v>
      </c>
      <c r="F102" s="691"/>
      <c r="G102" s="683">
        <v>2000</v>
      </c>
    </row>
    <row r="103" spans="1:8" x14ac:dyDescent="0.2">
      <c r="A103" s="528"/>
      <c r="B103" s="721" t="s">
        <v>590</v>
      </c>
      <c r="C103" s="692"/>
      <c r="D103" s="693">
        <v>2063519.76</v>
      </c>
      <c r="E103" s="725">
        <f>D103</f>
        <v>2063519.76</v>
      </c>
      <c r="F103" s="693"/>
      <c r="G103" s="683">
        <v>3000</v>
      </c>
    </row>
    <row r="104" spans="1:8" x14ac:dyDescent="0.2">
      <c r="A104" s="528"/>
      <c r="B104" s="726" t="s">
        <v>303</v>
      </c>
      <c r="C104" s="726"/>
      <c r="D104" s="693">
        <v>636327.15</v>
      </c>
      <c r="E104" s="725">
        <f>SUM(D104)</f>
        <v>636327.15</v>
      </c>
      <c r="F104" s="693"/>
    </row>
    <row r="105" spans="1:8" x14ac:dyDescent="0.2">
      <c r="A105" s="698"/>
      <c r="B105" s="780" t="s">
        <v>439</v>
      </c>
      <c r="C105" s="780"/>
      <c r="D105" s="693"/>
      <c r="E105" s="725">
        <f>SUM(D106:D110)</f>
        <v>1353693.07</v>
      </c>
      <c r="F105" s="693"/>
    </row>
    <row r="106" spans="1:8" x14ac:dyDescent="0.2">
      <c r="A106" s="698"/>
      <c r="B106" s="694"/>
      <c r="C106" s="692" t="s">
        <v>304</v>
      </c>
      <c r="D106" s="693">
        <v>1046634.75</v>
      </c>
      <c r="E106" s="728"/>
      <c r="F106" s="693"/>
    </row>
    <row r="107" spans="1:8" x14ac:dyDescent="0.2">
      <c r="A107" s="698"/>
      <c r="B107" s="694"/>
      <c r="C107" s="692" t="s">
        <v>306</v>
      </c>
      <c r="D107" s="693">
        <v>84982.66</v>
      </c>
      <c r="E107" s="728"/>
      <c r="F107" s="693"/>
    </row>
    <row r="108" spans="1:8" x14ac:dyDescent="0.2">
      <c r="A108" s="698"/>
      <c r="B108" s="694"/>
      <c r="C108" s="779" t="s">
        <v>678</v>
      </c>
      <c r="D108" s="693">
        <v>22208.52</v>
      </c>
      <c r="E108" s="728"/>
      <c r="F108" s="693"/>
    </row>
    <row r="109" spans="1:8" x14ac:dyDescent="0.2">
      <c r="A109" s="698"/>
      <c r="B109" s="694"/>
      <c r="C109" s="779" t="s">
        <v>308</v>
      </c>
      <c r="D109" s="693">
        <v>128743.6</v>
      </c>
      <c r="E109" s="728"/>
      <c r="F109" s="693"/>
    </row>
    <row r="110" spans="1:8" x14ac:dyDescent="0.2">
      <c r="A110" s="698"/>
      <c r="B110" s="694"/>
      <c r="C110" s="779" t="s">
        <v>121</v>
      </c>
      <c r="D110" s="693">
        <v>71123.539999999994</v>
      </c>
      <c r="E110" s="728"/>
      <c r="F110" s="693"/>
    </row>
    <row r="111" spans="1:8" x14ac:dyDescent="0.2">
      <c r="A111" s="698"/>
      <c r="B111" s="747" t="s">
        <v>309</v>
      </c>
      <c r="C111" s="780"/>
      <c r="D111" s="693">
        <v>0</v>
      </c>
      <c r="E111" s="728">
        <f>D111</f>
        <v>0</v>
      </c>
      <c r="F111" s="693"/>
      <c r="H111" s="590" t="s">
        <v>952</v>
      </c>
    </row>
    <row r="112" spans="1:8" ht="13.5" thickBot="1" x14ac:dyDescent="0.25">
      <c r="A112" s="702"/>
      <c r="B112" s="703"/>
      <c r="C112" s="704"/>
      <c r="D112" s="705"/>
      <c r="E112" s="706"/>
      <c r="F112" s="751">
        <f>SUM(E101:E112)*0</f>
        <v>0</v>
      </c>
      <c r="H112" s="707">
        <f>F112-7400490.88</f>
        <v>-7400490.8799999999</v>
      </c>
    </row>
    <row r="113" spans="1:8" ht="13.9" customHeight="1" x14ac:dyDescent="0.2">
      <c r="A113" s="766" t="s">
        <v>680</v>
      </c>
      <c r="B113" s="996" t="s">
        <v>223</v>
      </c>
      <c r="C113" s="997"/>
      <c r="D113" s="761"/>
      <c r="E113" s="714">
        <f>46558.51+25441.49</f>
        <v>72000</v>
      </c>
      <c r="F113" s="756"/>
    </row>
    <row r="114" spans="1:8" ht="12.75" customHeight="1" x14ac:dyDescent="0.2">
      <c r="A114" s="762" t="s">
        <v>679</v>
      </c>
      <c r="B114" s="744" t="s">
        <v>49</v>
      </c>
      <c r="C114" s="692"/>
      <c r="D114" s="693"/>
      <c r="E114" s="725">
        <f>D114</f>
        <v>0</v>
      </c>
      <c r="F114" s="693"/>
    </row>
    <row r="115" spans="1:8" ht="12.75" customHeight="1" x14ac:dyDescent="0.2">
      <c r="A115" s="528"/>
      <c r="B115" s="721" t="s">
        <v>590</v>
      </c>
      <c r="C115" s="726"/>
      <c r="D115" s="693"/>
      <c r="E115" s="725">
        <f>D115</f>
        <v>0</v>
      </c>
      <c r="F115" s="693"/>
      <c r="H115" s="695"/>
    </row>
    <row r="116" spans="1:8" ht="12.75" customHeight="1" x14ac:dyDescent="0.2">
      <c r="A116" s="528"/>
      <c r="B116" s="726" t="s">
        <v>303</v>
      </c>
      <c r="C116" s="700"/>
      <c r="D116" s="693">
        <v>429300</v>
      </c>
      <c r="E116" s="728">
        <f>D116</f>
        <v>429300</v>
      </c>
      <c r="F116" s="701"/>
    </row>
    <row r="117" spans="1:8" x14ac:dyDescent="0.2">
      <c r="A117" s="698"/>
      <c r="B117" s="780" t="s">
        <v>439</v>
      </c>
      <c r="C117" s="780"/>
      <c r="D117" s="693"/>
      <c r="E117" s="725">
        <f>SUM(D118:D122)</f>
        <v>0</v>
      </c>
      <c r="F117" s="693"/>
    </row>
    <row r="118" spans="1:8" x14ac:dyDescent="0.2">
      <c r="A118" s="698"/>
      <c r="B118" s="694"/>
      <c r="C118" s="692" t="s">
        <v>304</v>
      </c>
      <c r="D118" s="693">
        <v>0</v>
      </c>
      <c r="E118" s="728"/>
      <c r="F118" s="693"/>
    </row>
    <row r="119" spans="1:8" x14ac:dyDescent="0.2">
      <c r="A119" s="698"/>
      <c r="B119" s="694"/>
      <c r="C119" s="692" t="s">
        <v>306</v>
      </c>
      <c r="D119" s="693">
        <v>0</v>
      </c>
      <c r="E119" s="728"/>
      <c r="F119" s="693"/>
    </row>
    <row r="120" spans="1:8" x14ac:dyDescent="0.2">
      <c r="A120" s="698"/>
      <c r="B120" s="694"/>
      <c r="C120" s="779" t="s">
        <v>678</v>
      </c>
      <c r="D120" s="693">
        <v>0</v>
      </c>
      <c r="E120" s="728"/>
      <c r="F120" s="693"/>
    </row>
    <row r="121" spans="1:8" x14ac:dyDescent="0.2">
      <c r="A121" s="698"/>
      <c r="B121" s="694"/>
      <c r="C121" s="779" t="s">
        <v>308</v>
      </c>
      <c r="D121" s="693">
        <v>0</v>
      </c>
      <c r="E121" s="728"/>
      <c r="F121" s="693"/>
    </row>
    <row r="122" spans="1:8" x14ac:dyDescent="0.2">
      <c r="A122" s="698"/>
      <c r="B122" s="694"/>
      <c r="C122" s="779" t="s">
        <v>121</v>
      </c>
      <c r="D122" s="693">
        <v>0</v>
      </c>
      <c r="E122" s="728"/>
      <c r="F122" s="693"/>
    </row>
    <row r="123" spans="1:8" ht="12.75" customHeight="1" x14ac:dyDescent="0.2">
      <c r="A123" s="710"/>
      <c r="B123" s="747" t="s">
        <v>309</v>
      </c>
      <c r="C123" s="700"/>
      <c r="D123" s="701">
        <v>0</v>
      </c>
      <c r="E123" s="728">
        <f>D123</f>
        <v>0</v>
      </c>
      <c r="F123" s="701"/>
    </row>
    <row r="124" spans="1:8" ht="13.5" customHeight="1" thickBot="1" x14ac:dyDescent="0.25">
      <c r="A124" s="702"/>
      <c r="B124" s="1004"/>
      <c r="C124" s="1005"/>
      <c r="D124" s="706"/>
      <c r="E124" s="765"/>
      <c r="F124" s="781">
        <f>SUM(E113:E124)</f>
        <v>501300</v>
      </c>
      <c r="H124" s="707">
        <f>F124-501300</f>
        <v>0</v>
      </c>
    </row>
    <row r="125" spans="1:8" x14ac:dyDescent="0.2">
      <c r="A125" s="766" t="s">
        <v>388</v>
      </c>
      <c r="B125" s="996"/>
      <c r="C125" s="997"/>
      <c r="D125" s="761"/>
      <c r="E125" s="714">
        <v>0</v>
      </c>
      <c r="F125" s="756"/>
    </row>
    <row r="126" spans="1:8" x14ac:dyDescent="0.2">
      <c r="A126" s="528"/>
      <c r="B126" s="746" t="s">
        <v>122</v>
      </c>
      <c r="C126" s="692"/>
      <c r="D126" s="693"/>
      <c r="E126" s="725">
        <f>SUM(D127:D131)</f>
        <v>0</v>
      </c>
      <c r="F126" s="693"/>
    </row>
    <row r="127" spans="1:8" x14ac:dyDescent="0.2">
      <c r="A127" s="762"/>
      <c r="B127" s="694"/>
      <c r="C127" s="692" t="s">
        <v>298</v>
      </c>
      <c r="D127" s="693"/>
      <c r="E127" s="693"/>
      <c r="F127" s="693"/>
    </row>
    <row r="128" spans="1:8" x14ac:dyDescent="0.2">
      <c r="A128" s="762"/>
      <c r="B128" s="694"/>
      <c r="C128" s="692" t="s">
        <v>50</v>
      </c>
      <c r="D128" s="693">
        <v>0</v>
      </c>
      <c r="E128" s="693"/>
      <c r="F128" s="693"/>
    </row>
    <row r="129" spans="1:9" ht="12.75" customHeight="1" x14ac:dyDescent="0.2">
      <c r="A129" s="528"/>
      <c r="B129" s="694"/>
      <c r="C129" s="692" t="s">
        <v>301</v>
      </c>
      <c r="D129" s="693">
        <v>0</v>
      </c>
      <c r="E129" s="693"/>
      <c r="F129" s="693"/>
    </row>
    <row r="130" spans="1:9" ht="12.75" customHeight="1" x14ac:dyDescent="0.2">
      <c r="A130" s="528"/>
      <c r="B130" s="694"/>
      <c r="C130" s="692" t="s">
        <v>302</v>
      </c>
      <c r="D130" s="693">
        <v>0</v>
      </c>
      <c r="E130" s="693"/>
      <c r="F130" s="693"/>
    </row>
    <row r="131" spans="1:9" x14ac:dyDescent="0.2">
      <c r="A131" s="528"/>
      <c r="B131" s="694"/>
      <c r="C131" s="692" t="s">
        <v>440</v>
      </c>
      <c r="D131" s="693">
        <v>0</v>
      </c>
      <c r="E131" s="693"/>
      <c r="F131" s="693"/>
      <c r="H131" s="712"/>
    </row>
    <row r="132" spans="1:9" ht="13.5" thickBot="1" x14ac:dyDescent="0.25">
      <c r="A132" s="702"/>
      <c r="B132" s="703"/>
      <c r="C132" s="704"/>
      <c r="D132" s="705"/>
      <c r="E132" s="706"/>
      <c r="F132" s="782">
        <f>SUM(E126:E132)</f>
        <v>0</v>
      </c>
      <c r="H132" s="717">
        <f>H44+H61+H93+H60</f>
        <v>529010.22</v>
      </c>
      <c r="I132" s="590" t="s">
        <v>941</v>
      </c>
    </row>
    <row r="133" spans="1:9" ht="13.5" thickBot="1" x14ac:dyDescent="0.25">
      <c r="A133" s="767" t="s">
        <v>684</v>
      </c>
      <c r="B133" s="768"/>
      <c r="E133" s="918" t="s">
        <v>891</v>
      </c>
      <c r="F133" s="717">
        <f>-'Sched-C'!$D$24</f>
        <v>-23573090.359999999</v>
      </c>
      <c r="H133" s="783">
        <f>F132+F124+F100+F94+F82+F72+F62+F45+F28+F17+F112</f>
        <v>65865507.350000009</v>
      </c>
      <c r="I133" s="683" t="s">
        <v>685</v>
      </c>
    </row>
    <row r="134" spans="1:9" s="666" customFormat="1" ht="21.75" customHeight="1" thickBot="1" x14ac:dyDescent="0.25">
      <c r="A134" s="769"/>
      <c r="B134" s="770" t="s">
        <v>6</v>
      </c>
      <c r="C134" s="771"/>
      <c r="D134" s="772"/>
      <c r="E134" s="773"/>
      <c r="F134" s="774">
        <f>SUM(F3:F133)</f>
        <v>42292416.99000001</v>
      </c>
      <c r="H134" s="917">
        <f>SUM(H132:H133)</f>
        <v>66394517.570000008</v>
      </c>
      <c r="I134" s="666" t="s">
        <v>888</v>
      </c>
    </row>
    <row r="135" spans="1:9" ht="13.5" thickTop="1" x14ac:dyDescent="0.2">
      <c r="F135" s="695"/>
      <c r="H135" s="784">
        <f>66394517.57+7400490.88</f>
        <v>73795008.450000003</v>
      </c>
      <c r="I135" s="683" t="s">
        <v>890</v>
      </c>
    </row>
    <row r="136" spans="1:9" x14ac:dyDescent="0.2">
      <c r="A136" s="570" t="s">
        <v>931</v>
      </c>
      <c r="H136" s="785">
        <f>H134-H135</f>
        <v>-7400490.8799999952</v>
      </c>
      <c r="I136" s="786" t="s">
        <v>683</v>
      </c>
    </row>
    <row r="137" spans="1:9" x14ac:dyDescent="0.2">
      <c r="A137" s="775" t="s">
        <v>889</v>
      </c>
      <c r="H137" s="695"/>
    </row>
    <row r="138" spans="1:9" x14ac:dyDescent="0.2">
      <c r="A138" s="776"/>
      <c r="H138" s="590" t="s">
        <v>952</v>
      </c>
    </row>
    <row r="139" spans="1:9" x14ac:dyDescent="0.2">
      <c r="H139" s="955">
        <v>7400490.8799999999</v>
      </c>
    </row>
  </sheetData>
  <dataConsolidate/>
  <mergeCells count="24">
    <mergeCell ref="B73:C73"/>
    <mergeCell ref="B125:C125"/>
    <mergeCell ref="B63:C63"/>
    <mergeCell ref="B124:C124"/>
    <mergeCell ref="B39:C39"/>
    <mergeCell ref="B83:C83"/>
    <mergeCell ref="B94:C94"/>
    <mergeCell ref="B95:C95"/>
    <mergeCell ref="B113:C113"/>
    <mergeCell ref="B61:C61"/>
    <mergeCell ref="B42:C42"/>
    <mergeCell ref="B41:C41"/>
    <mergeCell ref="B43:C43"/>
    <mergeCell ref="B101:C101"/>
    <mergeCell ref="A1:F1"/>
    <mergeCell ref="D2:E2"/>
    <mergeCell ref="B62:C62"/>
    <mergeCell ref="B18:C18"/>
    <mergeCell ref="B29:C29"/>
    <mergeCell ref="B46:C46"/>
    <mergeCell ref="B2:C2"/>
    <mergeCell ref="B3:C3"/>
    <mergeCell ref="B59:C59"/>
    <mergeCell ref="B60:C60"/>
  </mergeCells>
  <phoneticPr fontId="21" type="noConversion"/>
  <printOptions horizontalCentered="1"/>
  <pageMargins left="0" right="0" top="1.25" bottom="1" header="0.33" footer="0.5"/>
  <pageSetup scale="98" fitToHeight="0" orientation="portrait" r:id="rId1"/>
  <headerFooter alignWithMargins="0">
    <oddHeader>&amp;C&amp;"Arial,Bold"&amp;12DEPARTMENT OF CORRECTIONS
 COST OF CARE Year 2019
(Based on Fiscal Year 2018 Actuals)</oddHeader>
    <oddFooter>&amp;L&amp;8&amp;F &amp;A&amp;R&amp;8&amp;D &amp;T</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E14"/>
  <sheetViews>
    <sheetView showGridLines="0" workbookViewId="0">
      <selection activeCell="A8" sqref="A8"/>
    </sheetView>
  </sheetViews>
  <sheetFormatPr defaultColWidth="9.140625" defaultRowHeight="12.75" x14ac:dyDescent="0.2"/>
  <cols>
    <col min="1" max="1" width="31" style="179" customWidth="1"/>
    <col min="2" max="2" width="12" style="179" customWidth="1"/>
    <col min="3" max="3" width="18.140625" style="179" customWidth="1"/>
    <col min="4" max="4" width="19.140625" style="179" bestFit="1" customWidth="1"/>
    <col min="5" max="5" width="19.85546875" style="179" customWidth="1"/>
    <col min="6" max="16384" width="9.140625" style="179"/>
  </cols>
  <sheetData>
    <row r="1" spans="1:5" ht="52.5" customHeight="1" thickBot="1" x14ac:dyDescent="0.25">
      <c r="A1" s="1008" t="s">
        <v>123</v>
      </c>
      <c r="B1" s="1008"/>
      <c r="C1" s="1008"/>
      <c r="D1" s="1008"/>
      <c r="E1" s="1008"/>
    </row>
    <row r="2" spans="1:5" ht="48" thickBot="1" x14ac:dyDescent="0.25">
      <c r="A2" s="342" t="s">
        <v>113</v>
      </c>
      <c r="B2" s="362" t="s">
        <v>687</v>
      </c>
      <c r="C2" s="343" t="s">
        <v>147</v>
      </c>
      <c r="D2" s="343" t="s">
        <v>112</v>
      </c>
      <c r="E2" s="343" t="s">
        <v>114</v>
      </c>
    </row>
    <row r="3" spans="1:5" ht="48.75" customHeight="1" thickTop="1" thickBot="1" x14ac:dyDescent="0.25">
      <c r="A3" s="344" t="s">
        <v>731</v>
      </c>
      <c r="B3" s="345" t="s">
        <v>732</v>
      </c>
      <c r="C3" s="346">
        <f>'Summary-Sched-E'!C10</f>
        <v>13244679.129999999</v>
      </c>
      <c r="D3" s="347">
        <f>'COST ALLOCATION'!H6</f>
        <v>0.85227836343534213</v>
      </c>
      <c r="E3" s="348">
        <f>C3*D3</f>
        <v>11288153.45314263</v>
      </c>
    </row>
    <row r="4" spans="1:5" s="353" customFormat="1" ht="36" customHeight="1" thickBot="1" x14ac:dyDescent="0.35">
      <c r="A4" s="349" t="s">
        <v>47</v>
      </c>
      <c r="B4" s="350"/>
      <c r="C4" s="351"/>
      <c r="D4" s="352"/>
      <c r="E4" s="803">
        <f>E3</f>
        <v>11288153.45314263</v>
      </c>
    </row>
    <row r="5" spans="1:5" s="353" customFormat="1" ht="36" customHeight="1" thickTop="1" x14ac:dyDescent="0.3">
      <c r="A5" s="798"/>
      <c r="B5" s="798"/>
      <c r="C5" s="799"/>
      <c r="D5" s="800"/>
      <c r="E5" s="802"/>
    </row>
    <row r="6" spans="1:5" s="353" customFormat="1" ht="36" customHeight="1" x14ac:dyDescent="0.3">
      <c r="A6" s="801" t="s">
        <v>733</v>
      </c>
      <c r="B6" s="798"/>
      <c r="C6" s="799"/>
      <c r="D6" s="800"/>
      <c r="E6" s="802"/>
    </row>
    <row r="7" spans="1:5" ht="36" customHeight="1" x14ac:dyDescent="0.2">
      <c r="A7" s="339" t="s">
        <v>931</v>
      </c>
      <c r="C7" s="261"/>
    </row>
    <row r="8" spans="1:5" ht="36" customHeight="1" x14ac:dyDescent="0.2"/>
    <row r="9" spans="1:5" ht="36" customHeight="1" x14ac:dyDescent="0.2"/>
    <row r="10" spans="1:5" ht="36" customHeight="1" x14ac:dyDescent="0.2"/>
    <row r="11" spans="1:5" ht="36" customHeight="1" x14ac:dyDescent="0.2"/>
    <row r="12" spans="1:5" ht="48" customHeight="1" x14ac:dyDescent="0.2"/>
    <row r="13" spans="1:5" ht="29.25" customHeight="1" x14ac:dyDescent="0.2"/>
    <row r="14" spans="1:5" ht="34.5" customHeight="1" x14ac:dyDescent="0.2"/>
  </sheetData>
  <mergeCells count="1">
    <mergeCell ref="A1:E1"/>
  </mergeCells>
  <phoneticPr fontId="21" type="noConversion"/>
  <printOptions horizontalCentered="1"/>
  <pageMargins left="0.25" right="0.25" top="0.97" bottom="1" header="0.33" footer="0.5"/>
  <pageSetup orientation="portrait" r:id="rId1"/>
  <headerFooter alignWithMargins="0">
    <oddHeader>&amp;C&amp;"Arial,Bold"&amp;12DEPARTMENT OF CORRECTIONS
 COST OF CARE Year 2019
(Based on Fiscal Year 2018 Actuals)</oddHeader>
    <oddFooter>&amp;L&amp;8&amp;F &amp;A&amp;R&amp;8&amp;D &amp;T</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2:C20"/>
  <sheetViews>
    <sheetView showGridLines="0" workbookViewId="0">
      <selection activeCell="C10" sqref="C10"/>
    </sheetView>
  </sheetViews>
  <sheetFormatPr defaultColWidth="9.140625" defaultRowHeight="15.75" x14ac:dyDescent="0.25"/>
  <cols>
    <col min="1" max="1" width="17.42578125" style="194" bestFit="1" customWidth="1"/>
    <col min="2" max="2" width="15.140625" style="194" customWidth="1"/>
    <col min="3" max="3" width="31" style="194" customWidth="1"/>
    <col min="4" max="16384" width="9.140625" style="194"/>
  </cols>
  <sheetData>
    <row r="2" spans="1:3" ht="18.75" customHeight="1" x14ac:dyDescent="0.25">
      <c r="A2" s="361" t="s">
        <v>322</v>
      </c>
      <c r="B2" s="362" t="s">
        <v>687</v>
      </c>
      <c r="C2" s="363" t="s">
        <v>827</v>
      </c>
    </row>
    <row r="3" spans="1:3" x14ac:dyDescent="0.25">
      <c r="A3" s="269" t="s">
        <v>323</v>
      </c>
      <c r="B3" s="354" t="s">
        <v>688</v>
      </c>
      <c r="C3" s="355">
        <f>2030051.39-97432</f>
        <v>1932619.39</v>
      </c>
    </row>
    <row r="4" spans="1:3" x14ac:dyDescent="0.25">
      <c r="A4" s="269" t="s">
        <v>325</v>
      </c>
      <c r="B4" s="356" t="s">
        <v>689</v>
      </c>
      <c r="C4" s="355">
        <v>4185509.42</v>
      </c>
    </row>
    <row r="5" spans="1:3" x14ac:dyDescent="0.25">
      <c r="A5" s="269" t="s">
        <v>326</v>
      </c>
      <c r="B5" s="356" t="s">
        <v>690</v>
      </c>
      <c r="C5" s="355">
        <v>2745893.07</v>
      </c>
    </row>
    <row r="6" spans="1:3" x14ac:dyDescent="0.25">
      <c r="A6" s="269" t="s">
        <v>328</v>
      </c>
      <c r="B6" s="356" t="s">
        <v>691</v>
      </c>
      <c r="C6" s="355">
        <v>736583.07</v>
      </c>
    </row>
    <row r="7" spans="1:3" x14ac:dyDescent="0.25">
      <c r="A7" s="269" t="s">
        <v>327</v>
      </c>
      <c r="B7" s="356" t="s">
        <v>692</v>
      </c>
      <c r="C7" s="355">
        <v>289900</v>
      </c>
    </row>
    <row r="8" spans="1:3" x14ac:dyDescent="0.25">
      <c r="A8" s="269" t="s">
        <v>324</v>
      </c>
      <c r="B8" s="356" t="s">
        <v>693</v>
      </c>
      <c r="C8" s="355">
        <v>1601820</v>
      </c>
    </row>
    <row r="9" spans="1:3" x14ac:dyDescent="0.25">
      <c r="A9" s="357" t="s">
        <v>64</v>
      </c>
      <c r="B9" s="358" t="s">
        <v>694</v>
      </c>
      <c r="C9" s="787">
        <v>1752354.18</v>
      </c>
    </row>
    <row r="10" spans="1:3" s="237" customFormat="1" ht="19.5" customHeight="1" x14ac:dyDescent="0.25">
      <c r="B10" s="359" t="s">
        <v>26</v>
      </c>
      <c r="C10" s="788">
        <f>SUM(C3:C9)</f>
        <v>13244679.129999999</v>
      </c>
    </row>
    <row r="15" spans="1:3" x14ac:dyDescent="0.25">
      <c r="A15" s="223"/>
      <c r="C15" s="360"/>
    </row>
    <row r="16" spans="1:3" x14ac:dyDescent="0.25">
      <c r="A16" s="339" t="s">
        <v>930</v>
      </c>
    </row>
    <row r="18" spans="1:1" x14ac:dyDescent="0.25">
      <c r="A18" s="237" t="s">
        <v>927</v>
      </c>
    </row>
    <row r="19" spans="1:1" x14ac:dyDescent="0.25">
      <c r="A19" s="237" t="s">
        <v>928</v>
      </c>
    </row>
    <row r="20" spans="1:1" x14ac:dyDescent="0.25">
      <c r="A20" s="237" t="s">
        <v>929</v>
      </c>
    </row>
  </sheetData>
  <phoneticPr fontId="0" type="noConversion"/>
  <printOptions horizontalCentered="1"/>
  <pageMargins left="0.5" right="0.75" top="1.25" bottom="1" header="0.33" footer="0.5"/>
  <pageSetup orientation="portrait" r:id="rId1"/>
  <headerFooter alignWithMargins="0">
    <oddHeader>&amp;C&amp;"Arial,Bold"&amp;12DEPARTMENT OF CORRECTIONS
 COST OF CARE Year 2019
(Based on Fiscal Year 2018 Actuals)</oddHeader>
    <oddFooter>&amp;L&amp;8&amp;F &amp;A&amp;R&amp;8&amp;D &amp;T</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E46"/>
  <sheetViews>
    <sheetView showGridLines="0" workbookViewId="0">
      <selection activeCell="A45" sqref="A45"/>
    </sheetView>
  </sheetViews>
  <sheetFormatPr defaultColWidth="9.140625" defaultRowHeight="12.75" x14ac:dyDescent="0.2"/>
  <cols>
    <col min="1" max="1" width="31.28515625" style="179" customWidth="1"/>
    <col min="2" max="2" width="17.5703125" style="179" customWidth="1"/>
    <col min="3" max="3" width="12.5703125" style="179" bestFit="1" customWidth="1"/>
    <col min="4" max="4" width="14" style="179" customWidth="1"/>
    <col min="5" max="16384" width="9.140625" style="179"/>
  </cols>
  <sheetData>
    <row r="1" spans="1:5" ht="15.75" x14ac:dyDescent="0.25">
      <c r="A1" s="1012" t="s">
        <v>115</v>
      </c>
      <c r="B1" s="1012"/>
      <c r="C1" s="364"/>
      <c r="D1" s="1009" t="s">
        <v>385</v>
      </c>
      <c r="E1" s="1009"/>
    </row>
    <row r="2" spans="1:5" ht="19.5" customHeight="1" thickBot="1" x14ac:dyDescent="0.25">
      <c r="A2" s="1013" t="s">
        <v>116</v>
      </c>
      <c r="B2" s="1013"/>
      <c r="C2" s="365"/>
    </row>
    <row r="3" spans="1:5" ht="39.75" thickTop="1" thickBot="1" x14ac:dyDescent="0.25">
      <c r="A3" s="337" t="s">
        <v>55</v>
      </c>
      <c r="B3" s="372" t="s">
        <v>56</v>
      </c>
      <c r="C3" s="372" t="s">
        <v>57</v>
      </c>
    </row>
    <row r="4" spans="1:5" ht="13.5" thickTop="1" x14ac:dyDescent="0.2">
      <c r="A4" s="262" t="s">
        <v>294</v>
      </c>
      <c r="B4" s="366">
        <f>'Property Inventory'!D35+'Property Inventory'!F35</f>
        <v>2072699.11</v>
      </c>
      <c r="C4" s="366">
        <f>B4*0.06666</f>
        <v>138166.1226726</v>
      </c>
    </row>
    <row r="5" spans="1:5" x14ac:dyDescent="0.2">
      <c r="A5" s="262" t="s">
        <v>646</v>
      </c>
      <c r="B5" s="366">
        <f>'Property Inventory'!D26+'Property Inventory'!F26</f>
        <v>266075.24</v>
      </c>
      <c r="C5" s="366">
        <f>B5*0.06666</f>
        <v>17736.575498399998</v>
      </c>
    </row>
    <row r="6" spans="1:5" x14ac:dyDescent="0.2">
      <c r="A6" s="262" t="s">
        <v>836</v>
      </c>
      <c r="B6" s="366">
        <f>'Property Inventory'!D34+'Property Inventory'!F34</f>
        <v>444820.55</v>
      </c>
      <c r="C6" s="366">
        <f t="shared" ref="C6:C16" si="0">B6*0.06666</f>
        <v>29651.737862999998</v>
      </c>
    </row>
    <row r="7" spans="1:5" x14ac:dyDescent="0.2">
      <c r="A7" s="262" t="s">
        <v>654</v>
      </c>
      <c r="B7" s="366">
        <f>'Property Inventory'!D25+'Property Inventory'!F25</f>
        <v>442530.16</v>
      </c>
      <c r="C7" s="366">
        <f t="shared" si="0"/>
        <v>29499.060465599996</v>
      </c>
    </row>
    <row r="8" spans="1:5" x14ac:dyDescent="0.2">
      <c r="A8" s="262" t="s">
        <v>656</v>
      </c>
      <c r="B8" s="366">
        <f>'Property Inventory'!D38+'Property Inventory'!F38</f>
        <v>1717595.98</v>
      </c>
      <c r="C8" s="366">
        <f>B8*0.06666</f>
        <v>114494.94802679999</v>
      </c>
    </row>
    <row r="9" spans="1:5" x14ac:dyDescent="0.2">
      <c r="A9" s="262" t="s">
        <v>737</v>
      </c>
      <c r="B9" s="366">
        <f>'Property Inventory'!D47+'Property Inventory'!F47</f>
        <v>99018.96</v>
      </c>
      <c r="C9" s="366">
        <f t="shared" si="0"/>
        <v>6600.6038736</v>
      </c>
    </row>
    <row r="10" spans="1:5" x14ac:dyDescent="0.2">
      <c r="A10" s="262" t="s">
        <v>668</v>
      </c>
      <c r="B10" s="366">
        <f>'Property Inventory'!D46+'Property Inventory'!F46</f>
        <v>775618.26</v>
      </c>
      <c r="C10" s="366">
        <f t="shared" si="0"/>
        <v>51702.713211599999</v>
      </c>
    </row>
    <row r="11" spans="1:5" x14ac:dyDescent="0.2">
      <c r="A11" s="262" t="s">
        <v>738</v>
      </c>
      <c r="B11" s="366">
        <f>'Property Inventory'!D33+'Property Inventory'!F33</f>
        <v>121882.88</v>
      </c>
      <c r="C11" s="366">
        <f t="shared" si="0"/>
        <v>8124.7127807999996</v>
      </c>
    </row>
    <row r="12" spans="1:5" x14ac:dyDescent="0.2">
      <c r="A12" s="262" t="s">
        <v>671</v>
      </c>
      <c r="B12" s="366">
        <f>'Property Inventory'!D32+'Property Inventory'!F32</f>
        <v>1100926.3799999999</v>
      </c>
      <c r="C12" s="366">
        <f t="shared" si="0"/>
        <v>73387.75249079999</v>
      </c>
    </row>
    <row r="13" spans="1:5" x14ac:dyDescent="0.2">
      <c r="A13" s="262" t="s">
        <v>312</v>
      </c>
      <c r="B13" s="366">
        <f>'Property Inventory'!D52+'Property Inventory'!F52</f>
        <v>682827</v>
      </c>
      <c r="C13" s="366">
        <f t="shared" si="0"/>
        <v>45517.247819999997</v>
      </c>
    </row>
    <row r="14" spans="1:5" x14ac:dyDescent="0.2">
      <c r="A14" s="262" t="s">
        <v>659</v>
      </c>
      <c r="B14" s="366">
        <f>'Property Inventory'!D37+'Property Inventory'!F37</f>
        <v>2075184</v>
      </c>
      <c r="C14" s="366">
        <f t="shared" si="0"/>
        <v>138331.76543999999</v>
      </c>
    </row>
    <row r="15" spans="1:5" x14ac:dyDescent="0.2">
      <c r="A15" s="262" t="s">
        <v>660</v>
      </c>
      <c r="B15" s="366">
        <f>'Property Inventory'!D36+'Property Inventory'!F36</f>
        <v>1182580</v>
      </c>
      <c r="C15" s="366">
        <f t="shared" si="0"/>
        <v>78830.782800000001</v>
      </c>
    </row>
    <row r="16" spans="1:5" x14ac:dyDescent="0.2">
      <c r="A16" s="262" t="s">
        <v>854</v>
      </c>
      <c r="B16" s="367">
        <f>'Property Inventory'!D27+'Property Inventory'!F27</f>
        <v>191204.14</v>
      </c>
      <c r="C16" s="366">
        <f t="shared" si="0"/>
        <v>12745.667972400001</v>
      </c>
    </row>
    <row r="17" spans="1:5" ht="13.5" thickBot="1" x14ac:dyDescent="0.25">
      <c r="A17" s="262"/>
      <c r="B17" s="366"/>
      <c r="C17" s="366" t="s">
        <v>0</v>
      </c>
    </row>
    <row r="18" spans="1:5" ht="20.25" customHeight="1" thickTop="1" thickBot="1" x14ac:dyDescent="0.25">
      <c r="A18" s="368" t="s">
        <v>119</v>
      </c>
      <c r="B18" s="789">
        <f>SUM(B4:B17)</f>
        <v>11172962.66</v>
      </c>
      <c r="C18" s="790">
        <f>SUM(C4:C17)</f>
        <v>744789.69091559993</v>
      </c>
    </row>
    <row r="19" spans="1:5" ht="13.5" thickTop="1" x14ac:dyDescent="0.2">
      <c r="B19" s="266"/>
      <c r="C19" s="266"/>
    </row>
    <row r="20" spans="1:5" ht="4.1500000000000004" customHeight="1" x14ac:dyDescent="0.2">
      <c r="B20" s="266"/>
      <c r="C20" s="266"/>
      <c r="D20" s="266"/>
    </row>
    <row r="21" spans="1:5" x14ac:dyDescent="0.2">
      <c r="B21" s="266"/>
      <c r="C21" s="266"/>
      <c r="D21" s="369"/>
    </row>
    <row r="22" spans="1:5" ht="15.75" x14ac:dyDescent="0.25">
      <c r="A22" s="1009" t="s">
        <v>117</v>
      </c>
      <c r="B22" s="1009"/>
      <c r="C22" s="1009"/>
      <c r="D22" s="1010" t="s">
        <v>386</v>
      </c>
      <c r="E22" s="1010"/>
    </row>
    <row r="23" spans="1:5" ht="16.5" thickBot="1" x14ac:dyDescent="0.3">
      <c r="A23" s="1011" t="s">
        <v>828</v>
      </c>
      <c r="B23" s="1011"/>
      <c r="C23" s="1011"/>
      <c r="D23" s="370"/>
    </row>
    <row r="24" spans="1:5" s="374" customFormat="1" ht="39.75" thickTop="1" thickBot="1" x14ac:dyDescent="0.25">
      <c r="A24" s="337" t="s">
        <v>55</v>
      </c>
      <c r="B24" s="373" t="s">
        <v>211</v>
      </c>
      <c r="C24" s="373" t="s">
        <v>58</v>
      </c>
      <c r="D24" s="373" t="s">
        <v>59</v>
      </c>
    </row>
    <row r="25" spans="1:5" ht="13.5" thickTop="1" x14ac:dyDescent="0.2">
      <c r="A25" s="262" t="s">
        <v>387</v>
      </c>
      <c r="B25" s="366">
        <v>36522437</v>
      </c>
      <c r="C25" s="366">
        <v>0</v>
      </c>
      <c r="D25" s="366">
        <f>B25*0.02</f>
        <v>730448.74</v>
      </c>
    </row>
    <row r="26" spans="1:5" x14ac:dyDescent="0.2">
      <c r="A26" s="262" t="s">
        <v>28</v>
      </c>
      <c r="B26" s="366">
        <v>16192923</v>
      </c>
      <c r="C26" s="366">
        <v>0</v>
      </c>
      <c r="D26" s="366">
        <f>B26*0.02</f>
        <v>323858.46000000002</v>
      </c>
    </row>
    <row r="27" spans="1:5" x14ac:dyDescent="0.2">
      <c r="A27" s="262" t="s">
        <v>13</v>
      </c>
      <c r="B27" s="366">
        <v>45066600</v>
      </c>
      <c r="C27" s="366">
        <v>0</v>
      </c>
      <c r="D27" s="366">
        <f t="shared" ref="D27:D36" si="1">B27*0.02</f>
        <v>901332</v>
      </c>
      <c r="E27" s="323"/>
    </row>
    <row r="28" spans="1:5" x14ac:dyDescent="0.2">
      <c r="A28" s="262" t="s">
        <v>24</v>
      </c>
      <c r="B28" s="366">
        <v>34112840</v>
      </c>
      <c r="C28" s="366">
        <v>0</v>
      </c>
      <c r="D28" s="366">
        <f t="shared" si="1"/>
        <v>682256.8</v>
      </c>
    </row>
    <row r="29" spans="1:5" x14ac:dyDescent="0.2">
      <c r="A29" s="262" t="s">
        <v>15</v>
      </c>
      <c r="B29" s="366">
        <v>7691306</v>
      </c>
      <c r="C29" s="366">
        <v>0</v>
      </c>
      <c r="D29" s="366">
        <f t="shared" si="1"/>
        <v>153826.12</v>
      </c>
    </row>
    <row r="30" spans="1:5" x14ac:dyDescent="0.2">
      <c r="A30" s="262" t="s">
        <v>16</v>
      </c>
      <c r="B30" s="366">
        <v>28845762</v>
      </c>
      <c r="C30" s="366">
        <v>0</v>
      </c>
      <c r="D30" s="366">
        <f t="shared" si="1"/>
        <v>576915.24</v>
      </c>
    </row>
    <row r="31" spans="1:5" x14ac:dyDescent="0.2">
      <c r="A31" s="262" t="s">
        <v>17</v>
      </c>
      <c r="B31" s="366">
        <v>10392719</v>
      </c>
      <c r="C31" s="366">
        <v>0</v>
      </c>
      <c r="D31" s="366">
        <f t="shared" si="1"/>
        <v>207854.38</v>
      </c>
    </row>
    <row r="32" spans="1:5" x14ac:dyDescent="0.2">
      <c r="A32" s="262" t="s">
        <v>18</v>
      </c>
      <c r="B32" s="366">
        <f>41211974*0</f>
        <v>0</v>
      </c>
      <c r="C32" s="366">
        <v>0</v>
      </c>
      <c r="D32" s="366">
        <f t="shared" si="1"/>
        <v>0</v>
      </c>
    </row>
    <row r="33" spans="1:4" x14ac:dyDescent="0.2">
      <c r="A33" s="262" t="s">
        <v>312</v>
      </c>
      <c r="B33" s="366">
        <v>12269054</v>
      </c>
      <c r="C33" s="366">
        <v>0</v>
      </c>
      <c r="D33" s="366">
        <f t="shared" si="1"/>
        <v>245381.08000000002</v>
      </c>
    </row>
    <row r="34" spans="1:4" x14ac:dyDescent="0.2">
      <c r="A34" s="262" t="s">
        <v>19</v>
      </c>
      <c r="B34" s="366">
        <v>78360986</v>
      </c>
      <c r="C34" s="366">
        <v>0</v>
      </c>
      <c r="D34" s="366">
        <f t="shared" si="1"/>
        <v>1567219.72</v>
      </c>
    </row>
    <row r="35" spans="1:4" x14ac:dyDescent="0.2">
      <c r="A35" s="262" t="s">
        <v>25</v>
      </c>
      <c r="B35" s="366">
        <v>51709708</v>
      </c>
      <c r="C35" s="366">
        <v>0</v>
      </c>
      <c r="D35" s="366">
        <f t="shared" si="1"/>
        <v>1034194.16</v>
      </c>
    </row>
    <row r="36" spans="1:4" x14ac:dyDescent="0.2">
      <c r="A36" s="262" t="s">
        <v>29</v>
      </c>
      <c r="B36" s="366">
        <v>12275277</v>
      </c>
      <c r="C36" s="366">
        <v>0</v>
      </c>
      <c r="D36" s="366">
        <f t="shared" si="1"/>
        <v>245505.54</v>
      </c>
    </row>
    <row r="37" spans="1:4" ht="13.5" thickBot="1" x14ac:dyDescent="0.25">
      <c r="A37" s="262"/>
      <c r="B37" s="366"/>
      <c r="C37" s="366"/>
      <c r="D37" s="366"/>
    </row>
    <row r="38" spans="1:4" ht="14.25" thickTop="1" thickBot="1" x14ac:dyDescent="0.25">
      <c r="A38" s="368" t="s">
        <v>118</v>
      </c>
      <c r="B38" s="789">
        <f>SUM(B25:B37)</f>
        <v>333439612</v>
      </c>
      <c r="C38" s="371">
        <f>SUM(C25:C37)</f>
        <v>0</v>
      </c>
      <c r="D38" s="790">
        <f>SUM(D25:D37)</f>
        <v>6668792.2400000002</v>
      </c>
    </row>
    <row r="39" spans="1:4" ht="30" customHeight="1" thickTop="1" thickBot="1" x14ac:dyDescent="0.25">
      <c r="A39" s="229"/>
      <c r="B39" s="266"/>
      <c r="C39" s="266"/>
      <c r="D39" s="266"/>
    </row>
    <row r="40" spans="1:4" s="378" customFormat="1" ht="26.25" thickBot="1" x14ac:dyDescent="0.25">
      <c r="A40" s="577" t="s">
        <v>512</v>
      </c>
      <c r="B40" s="375" t="s">
        <v>120</v>
      </c>
      <c r="C40" s="376"/>
      <c r="D40" s="377">
        <f>C18+D38</f>
        <v>7413581.9309155997</v>
      </c>
    </row>
    <row r="41" spans="1:4" ht="13.5" thickTop="1" x14ac:dyDescent="0.2">
      <c r="B41" s="266"/>
      <c r="C41" s="266"/>
      <c r="D41" s="369"/>
    </row>
    <row r="42" spans="1:4" x14ac:dyDescent="0.2">
      <c r="A42" s="339" t="s">
        <v>855</v>
      </c>
    </row>
    <row r="45" spans="1:4" x14ac:dyDescent="0.2">
      <c r="A45" s="962" t="s">
        <v>957</v>
      </c>
    </row>
    <row r="46" spans="1:4" x14ac:dyDescent="0.2">
      <c r="A46" s="179" t="s">
        <v>958</v>
      </c>
    </row>
  </sheetData>
  <mergeCells count="6">
    <mergeCell ref="D1:E1"/>
    <mergeCell ref="D22:E22"/>
    <mergeCell ref="A23:C23"/>
    <mergeCell ref="A22:C22"/>
    <mergeCell ref="A1:B1"/>
    <mergeCell ref="A2:B2"/>
  </mergeCells>
  <phoneticPr fontId="21" type="noConversion"/>
  <printOptions horizontalCentered="1" verticalCentered="1"/>
  <pageMargins left="0.75" right="0.75" top="1.25" bottom="1" header="0.33" footer="0.5"/>
  <pageSetup orientation="portrait" r:id="rId1"/>
  <headerFooter alignWithMargins="0">
    <oddHeader>&amp;C&amp;"Arial,Bold"&amp;12DEPARTMENT OF CORRECTIONS
 COST OF CARE Year 2019
(Based on Fiscal Year 2018 Actuals)</oddHeader>
    <oddFooter>&amp;L&amp;8&amp;F &amp;A&amp;R&amp;8&amp;D &amp;T</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BD67"/>
  <sheetViews>
    <sheetView showGridLines="0" workbookViewId="0">
      <pane ySplit="2" topLeftCell="A3" activePane="bottomLeft" state="frozen"/>
      <selection activeCell="B35" sqref="B35"/>
      <selection pane="bottomLeft" activeCell="K22" sqref="K22"/>
    </sheetView>
  </sheetViews>
  <sheetFormatPr defaultColWidth="9.140625" defaultRowHeight="15.75" x14ac:dyDescent="0.25"/>
  <cols>
    <col min="1" max="1" width="9.85546875" style="194" customWidth="1"/>
    <col min="2" max="2" width="31.42578125" style="194" customWidth="1"/>
    <col min="3" max="3" width="11" style="230" customWidth="1"/>
    <col min="4" max="4" width="17.7109375" style="194" customWidth="1"/>
    <col min="5" max="5" width="12.85546875" style="194" customWidth="1"/>
    <col min="6" max="6" width="15.42578125" style="194" customWidth="1"/>
    <col min="7" max="7" width="17.28515625" style="194" customWidth="1"/>
    <col min="8" max="8" width="14.85546875" style="194" bestFit="1" customWidth="1"/>
    <col min="9" max="16384" width="9.140625" style="194"/>
  </cols>
  <sheetData>
    <row r="1" spans="1:13" s="237" customFormat="1" ht="41.25" customHeight="1" thickBot="1" x14ac:dyDescent="0.3">
      <c r="A1" s="970" t="s">
        <v>124</v>
      </c>
      <c r="B1" s="970"/>
      <c r="C1" s="970"/>
      <c r="D1" s="970"/>
      <c r="E1" s="970"/>
      <c r="F1" s="970"/>
      <c r="G1" s="970"/>
    </row>
    <row r="2" spans="1:13" s="246" customFormat="1" ht="30.75" customHeight="1" thickTop="1" thickBot="1" x14ac:dyDescent="0.25">
      <c r="A2" s="334" t="s">
        <v>778</v>
      </c>
      <c r="B2" s="333" t="s">
        <v>67</v>
      </c>
      <c r="C2" s="334" t="s">
        <v>571</v>
      </c>
      <c r="D2" s="334" t="s">
        <v>829</v>
      </c>
      <c r="E2" s="334" t="s">
        <v>830</v>
      </c>
      <c r="F2" s="334" t="s">
        <v>831</v>
      </c>
      <c r="G2" s="333" t="s">
        <v>6</v>
      </c>
    </row>
    <row r="3" spans="1:13" ht="16.5" thickTop="1" x14ac:dyDescent="0.25">
      <c r="A3" s="259">
        <v>3</v>
      </c>
      <c r="B3" s="182" t="s">
        <v>382</v>
      </c>
      <c r="C3" s="259">
        <v>1000</v>
      </c>
      <c r="D3" s="190">
        <v>50775.43</v>
      </c>
      <c r="E3" s="190"/>
      <c r="F3" s="382">
        <v>27819</v>
      </c>
      <c r="G3" s="383">
        <f>SUM(D3:F3)</f>
        <v>78594.429999999993</v>
      </c>
      <c r="H3" s="243"/>
      <c r="I3" s="243"/>
      <c r="J3" s="243"/>
      <c r="K3" s="243"/>
      <c r="L3" s="243"/>
      <c r="M3" s="243"/>
    </row>
    <row r="4" spans="1:13" x14ac:dyDescent="0.25">
      <c r="A4" s="259"/>
      <c r="B4" s="182" t="s">
        <v>779</v>
      </c>
      <c r="C4" s="259">
        <v>1400</v>
      </c>
      <c r="D4" s="190">
        <v>3044.6</v>
      </c>
      <c r="E4" s="190"/>
      <c r="F4" s="382">
        <v>0</v>
      </c>
      <c r="G4" s="383">
        <f t="shared" ref="G4:G5" si="0">SUM(D4:F4)</f>
        <v>3044.6</v>
      </c>
      <c r="H4" s="243"/>
      <c r="I4" s="243"/>
      <c r="J4" s="243"/>
      <c r="K4" s="243"/>
      <c r="L4" s="243"/>
      <c r="M4" s="243"/>
    </row>
    <row r="5" spans="1:13" x14ac:dyDescent="0.25">
      <c r="A5" s="259"/>
      <c r="B5" s="182" t="s">
        <v>572</v>
      </c>
      <c r="C5" s="259">
        <v>1500</v>
      </c>
      <c r="D5" s="190">
        <v>13145.64</v>
      </c>
      <c r="E5" s="190"/>
      <c r="F5" s="382">
        <v>0</v>
      </c>
      <c r="G5" s="383">
        <f t="shared" si="0"/>
        <v>13145.64</v>
      </c>
      <c r="H5" s="243"/>
      <c r="I5" s="243"/>
      <c r="J5" s="243"/>
      <c r="K5" s="243"/>
      <c r="L5" s="243"/>
      <c r="M5" s="243"/>
    </row>
    <row r="6" spans="1:13" x14ac:dyDescent="0.25">
      <c r="A6" s="259"/>
      <c r="B6" s="182" t="s">
        <v>545</v>
      </c>
      <c r="C6" s="259">
        <v>1200</v>
      </c>
      <c r="D6" s="190">
        <v>500414.25</v>
      </c>
      <c r="E6" s="190"/>
      <c r="F6" s="382">
        <v>806</v>
      </c>
      <c r="G6" s="383">
        <f>SUM(D6:F6)</f>
        <v>501220.25</v>
      </c>
      <c r="H6" s="243"/>
      <c r="I6" s="243"/>
      <c r="J6" s="243"/>
      <c r="K6" s="243"/>
      <c r="L6" s="243"/>
      <c r="M6" s="243"/>
    </row>
    <row r="7" spans="1:13" x14ac:dyDescent="0.25">
      <c r="A7" s="259" t="s">
        <v>456</v>
      </c>
      <c r="B7" s="182" t="s">
        <v>64</v>
      </c>
      <c r="C7" s="259">
        <v>3000</v>
      </c>
      <c r="D7" s="190">
        <v>22837.78</v>
      </c>
      <c r="E7" s="190"/>
      <c r="F7" s="382">
        <v>4433</v>
      </c>
      <c r="G7" s="383">
        <f>SUM(D7:F7)</f>
        <v>27270.78</v>
      </c>
      <c r="H7" s="243"/>
      <c r="I7" s="243"/>
      <c r="J7" s="243"/>
      <c r="K7" s="243"/>
      <c r="L7" s="243"/>
      <c r="M7" s="243"/>
    </row>
    <row r="8" spans="1:13" x14ac:dyDescent="0.25">
      <c r="A8" s="259"/>
      <c r="B8" s="182" t="s">
        <v>381</v>
      </c>
      <c r="C8" s="259">
        <v>2250</v>
      </c>
      <c r="D8" s="190">
        <v>66251.490000000005</v>
      </c>
      <c r="E8" s="190"/>
      <c r="F8" s="382">
        <v>4615</v>
      </c>
      <c r="G8" s="383">
        <f t="shared" ref="G8:G58" si="1">SUM(D8:F8)</f>
        <v>70866.490000000005</v>
      </c>
      <c r="H8" s="243"/>
      <c r="I8" s="243"/>
      <c r="J8" s="243"/>
      <c r="K8" s="243"/>
      <c r="L8" s="243"/>
      <c r="M8" s="243"/>
    </row>
    <row r="9" spans="1:13" x14ac:dyDescent="0.25">
      <c r="A9" s="259"/>
      <c r="B9" s="182" t="s">
        <v>321</v>
      </c>
      <c r="C9" s="259">
        <v>2230</v>
      </c>
      <c r="D9" s="190">
        <v>5450</v>
      </c>
      <c r="E9" s="190"/>
      <c r="F9" s="382"/>
      <c r="G9" s="383">
        <f t="shared" si="1"/>
        <v>5450</v>
      </c>
      <c r="H9" s="243"/>
      <c r="I9" s="243"/>
      <c r="J9" s="243"/>
      <c r="K9" s="243"/>
      <c r="L9" s="243"/>
      <c r="M9" s="243"/>
    </row>
    <row r="10" spans="1:13" x14ac:dyDescent="0.25">
      <c r="A10" s="259">
        <v>1</v>
      </c>
      <c r="B10" s="182" t="s">
        <v>848</v>
      </c>
      <c r="C10" s="259">
        <v>1100</v>
      </c>
      <c r="D10" s="190">
        <v>1328243.24</v>
      </c>
      <c r="E10" s="190"/>
      <c r="F10" s="382">
        <f>15303+11154</f>
        <v>26457</v>
      </c>
      <c r="G10" s="383">
        <f t="shared" si="1"/>
        <v>1354700.24</v>
      </c>
      <c r="H10" s="243"/>
      <c r="I10" s="243"/>
      <c r="J10" s="243"/>
      <c r="K10" s="243"/>
      <c r="L10" s="243"/>
      <c r="M10" s="243"/>
    </row>
    <row r="11" spans="1:13" x14ac:dyDescent="0.25">
      <c r="A11" s="259"/>
      <c r="B11" s="182" t="s">
        <v>311</v>
      </c>
      <c r="C11" s="259">
        <v>1300</v>
      </c>
      <c r="D11" s="190">
        <v>133179.14000000001</v>
      </c>
      <c r="E11" s="190"/>
      <c r="F11" s="382"/>
      <c r="G11" s="383">
        <f t="shared" si="1"/>
        <v>133179.14000000001</v>
      </c>
      <c r="H11" s="243"/>
      <c r="I11" s="243"/>
      <c r="J11" s="243"/>
      <c r="K11" s="243"/>
      <c r="L11" s="243"/>
      <c r="M11" s="243"/>
    </row>
    <row r="12" spans="1:13" x14ac:dyDescent="0.25">
      <c r="A12" s="259">
        <v>4</v>
      </c>
      <c r="B12" s="182" t="s">
        <v>79</v>
      </c>
      <c r="C12" s="259">
        <v>2260</v>
      </c>
      <c r="D12" s="190">
        <v>263815.95</v>
      </c>
      <c r="E12" s="190"/>
      <c r="F12" s="382">
        <v>20442</v>
      </c>
      <c r="G12" s="383">
        <f t="shared" si="1"/>
        <v>284257.95</v>
      </c>
      <c r="H12" s="243"/>
      <c r="I12" s="243"/>
      <c r="J12" s="243"/>
      <c r="K12" s="243"/>
      <c r="L12" s="243"/>
      <c r="M12" s="243"/>
    </row>
    <row r="13" spans="1:13" x14ac:dyDescent="0.25">
      <c r="A13" s="259"/>
      <c r="B13" s="182" t="s">
        <v>843</v>
      </c>
      <c r="C13" s="259">
        <v>2300</v>
      </c>
      <c r="D13" s="190">
        <v>16005.04</v>
      </c>
      <c r="E13" s="190"/>
      <c r="F13" s="382">
        <v>2812</v>
      </c>
      <c r="G13" s="383">
        <f t="shared" si="1"/>
        <v>18817.04</v>
      </c>
      <c r="H13" s="243"/>
      <c r="I13" s="243"/>
      <c r="J13" s="243"/>
      <c r="K13" s="243"/>
      <c r="L13" s="243"/>
      <c r="M13" s="243"/>
    </row>
    <row r="14" spans="1:13" x14ac:dyDescent="0.25">
      <c r="A14" s="259"/>
      <c r="B14" s="182" t="s">
        <v>458</v>
      </c>
      <c r="C14" s="259"/>
      <c r="D14" s="190">
        <v>0</v>
      </c>
      <c r="E14" s="190"/>
      <c r="F14" s="382">
        <v>308</v>
      </c>
      <c r="G14" s="383">
        <f t="shared" si="1"/>
        <v>308</v>
      </c>
      <c r="H14" s="243"/>
      <c r="I14" s="243"/>
      <c r="J14" s="243"/>
      <c r="K14" s="243"/>
      <c r="L14" s="243"/>
      <c r="M14" s="243"/>
    </row>
    <row r="15" spans="1:13" x14ac:dyDescent="0.25">
      <c r="A15" s="259">
        <v>7</v>
      </c>
      <c r="B15" s="182" t="s">
        <v>842</v>
      </c>
      <c r="C15" s="259">
        <v>2210</v>
      </c>
      <c r="D15" s="190">
        <v>34240</v>
      </c>
      <c r="E15" s="190"/>
      <c r="F15" s="382">
        <v>91142</v>
      </c>
      <c r="G15" s="383">
        <f t="shared" si="1"/>
        <v>125382</v>
      </c>
      <c r="H15" s="243"/>
      <c r="I15" s="243"/>
      <c r="J15" s="243"/>
      <c r="K15" s="243"/>
      <c r="L15" s="243"/>
      <c r="M15" s="243"/>
    </row>
    <row r="16" spans="1:13" x14ac:dyDescent="0.25">
      <c r="A16" s="615"/>
      <c r="B16" s="182" t="s">
        <v>313</v>
      </c>
      <c r="C16" s="259">
        <v>2200</v>
      </c>
      <c r="D16" s="190">
        <v>709.07</v>
      </c>
      <c r="E16" s="190"/>
      <c r="F16" s="382">
        <v>7745</v>
      </c>
      <c r="G16" s="383">
        <f t="shared" si="1"/>
        <v>8454.07</v>
      </c>
      <c r="H16" s="243"/>
      <c r="I16" s="243"/>
      <c r="J16" s="243"/>
      <c r="K16" s="243"/>
      <c r="L16" s="243"/>
      <c r="M16" s="243"/>
    </row>
    <row r="17" spans="1:13" x14ac:dyDescent="0.25">
      <c r="A17" s="259"/>
      <c r="B17" s="182" t="s">
        <v>134</v>
      </c>
      <c r="C17" s="259">
        <v>2410</v>
      </c>
      <c r="D17" s="190">
        <v>0</v>
      </c>
      <c r="E17" s="190"/>
      <c r="F17" s="382">
        <v>29365</v>
      </c>
      <c r="G17" s="383">
        <f t="shared" si="1"/>
        <v>29365</v>
      </c>
      <c r="H17" s="243"/>
      <c r="I17" s="243"/>
      <c r="J17" s="243"/>
      <c r="K17" s="243"/>
      <c r="L17" s="243"/>
      <c r="M17" s="243"/>
    </row>
    <row r="18" spans="1:13" x14ac:dyDescent="0.25">
      <c r="A18" s="259" t="s">
        <v>457</v>
      </c>
      <c r="B18" s="182" t="s">
        <v>511</v>
      </c>
      <c r="C18" s="259"/>
      <c r="D18" s="190">
        <v>0</v>
      </c>
      <c r="E18" s="190"/>
      <c r="F18" s="382">
        <v>10573</v>
      </c>
      <c r="G18" s="383">
        <f t="shared" si="1"/>
        <v>10573</v>
      </c>
      <c r="H18" s="243"/>
      <c r="I18" s="243"/>
      <c r="J18" s="243"/>
      <c r="K18" s="243"/>
      <c r="L18" s="243"/>
      <c r="M18" s="243"/>
    </row>
    <row r="19" spans="1:13" x14ac:dyDescent="0.25">
      <c r="A19" s="259">
        <v>37</v>
      </c>
      <c r="B19" s="182" t="s">
        <v>62</v>
      </c>
      <c r="C19" s="259">
        <v>2220</v>
      </c>
      <c r="D19" s="190">
        <v>31189</v>
      </c>
      <c r="E19" s="190"/>
      <c r="F19" s="382">
        <v>0</v>
      </c>
      <c r="G19" s="383">
        <f t="shared" si="1"/>
        <v>31189</v>
      </c>
      <c r="H19" s="243"/>
      <c r="I19" s="243"/>
      <c r="J19" s="243"/>
      <c r="K19" s="243"/>
      <c r="L19" s="243"/>
      <c r="M19" s="243"/>
    </row>
    <row r="20" spans="1:13" x14ac:dyDescent="0.25">
      <c r="A20" s="259"/>
      <c r="B20" s="182" t="s">
        <v>845</v>
      </c>
      <c r="C20" s="259">
        <v>4000</v>
      </c>
      <c r="D20" s="190">
        <v>709.07</v>
      </c>
      <c r="E20" s="190"/>
      <c r="F20" s="382">
        <v>0</v>
      </c>
      <c r="G20" s="383">
        <f t="shared" si="1"/>
        <v>709.07</v>
      </c>
      <c r="H20" s="243"/>
      <c r="I20" s="243"/>
      <c r="J20" s="243"/>
      <c r="K20" s="243"/>
      <c r="L20" s="243"/>
      <c r="M20" s="243"/>
    </row>
    <row r="21" spans="1:13" x14ac:dyDescent="0.25">
      <c r="A21" s="259"/>
      <c r="B21" s="182" t="s">
        <v>575</v>
      </c>
      <c r="C21" s="259">
        <v>4100</v>
      </c>
      <c r="D21" s="190">
        <v>55953.27</v>
      </c>
      <c r="E21" s="190"/>
      <c r="F21" s="382">
        <v>0</v>
      </c>
      <c r="G21" s="383">
        <f t="shared" si="1"/>
        <v>55953.27</v>
      </c>
      <c r="H21" s="243"/>
      <c r="I21" s="243"/>
      <c r="J21" s="243"/>
      <c r="K21" s="243"/>
      <c r="L21" s="243"/>
      <c r="M21" s="243"/>
    </row>
    <row r="22" spans="1:13" x14ac:dyDescent="0.25">
      <c r="A22" s="259"/>
      <c r="B22" s="182" t="s">
        <v>695</v>
      </c>
      <c r="C22" s="259">
        <v>4001</v>
      </c>
      <c r="D22" s="190">
        <v>73557.240000000005</v>
      </c>
      <c r="E22" s="190"/>
      <c r="F22" s="382">
        <v>0</v>
      </c>
      <c r="G22" s="383">
        <f t="shared" si="1"/>
        <v>73557.240000000005</v>
      </c>
      <c r="H22" s="243"/>
      <c r="I22" s="243"/>
      <c r="J22" s="243"/>
      <c r="K22" s="243"/>
      <c r="L22" s="243"/>
      <c r="M22" s="243"/>
    </row>
    <row r="23" spans="1:13" x14ac:dyDescent="0.25">
      <c r="A23" s="259"/>
      <c r="B23" s="182" t="s">
        <v>781</v>
      </c>
      <c r="C23" s="259">
        <v>4400</v>
      </c>
      <c r="D23" s="190">
        <v>709.07</v>
      </c>
      <c r="E23" s="190"/>
      <c r="F23" s="382">
        <v>0</v>
      </c>
      <c r="G23" s="383">
        <f t="shared" si="1"/>
        <v>709.07</v>
      </c>
      <c r="H23" s="243"/>
      <c r="I23" s="243"/>
      <c r="J23" s="243"/>
      <c r="K23" s="243"/>
      <c r="L23" s="243"/>
      <c r="M23" s="243"/>
    </row>
    <row r="24" spans="1:13" x14ac:dyDescent="0.25">
      <c r="A24" s="259"/>
      <c r="B24" s="182" t="s">
        <v>832</v>
      </c>
      <c r="C24" s="259">
        <v>2000</v>
      </c>
      <c r="D24" s="190">
        <v>15647</v>
      </c>
      <c r="E24" s="190"/>
      <c r="F24" s="382">
        <v>12288</v>
      </c>
      <c r="G24" s="383">
        <f t="shared" si="1"/>
        <v>27935</v>
      </c>
      <c r="H24" s="243"/>
      <c r="I24" s="243"/>
      <c r="J24" s="243"/>
      <c r="K24" s="243"/>
      <c r="L24" s="243"/>
      <c r="M24" s="243"/>
    </row>
    <row r="25" spans="1:13" x14ac:dyDescent="0.25">
      <c r="A25" s="259">
        <v>14</v>
      </c>
      <c r="B25" s="182" t="s">
        <v>838</v>
      </c>
      <c r="C25" s="259">
        <v>2103</v>
      </c>
      <c r="D25" s="190">
        <v>408026.16</v>
      </c>
      <c r="E25" s="190"/>
      <c r="F25" s="382">
        <v>34504</v>
      </c>
      <c r="G25" s="383">
        <f t="shared" si="1"/>
        <v>442530.16</v>
      </c>
      <c r="H25" s="243"/>
      <c r="I25" s="243"/>
      <c r="J25" s="243"/>
      <c r="K25" s="243"/>
      <c r="L25" s="243"/>
      <c r="M25" s="243"/>
    </row>
    <row r="26" spans="1:13" x14ac:dyDescent="0.25">
      <c r="A26" s="259">
        <v>15</v>
      </c>
      <c r="B26" s="182" t="s">
        <v>646</v>
      </c>
      <c r="C26" s="259">
        <v>2101</v>
      </c>
      <c r="D26" s="190">
        <v>216990.24</v>
      </c>
      <c r="E26" s="190"/>
      <c r="F26" s="382">
        <v>49085</v>
      </c>
      <c r="G26" s="383">
        <f t="shared" si="1"/>
        <v>266075.24</v>
      </c>
      <c r="H26" s="243"/>
      <c r="I26" s="243"/>
      <c r="J26" s="243"/>
      <c r="K26" s="243"/>
      <c r="L26" s="243"/>
      <c r="M26" s="243"/>
    </row>
    <row r="27" spans="1:13" x14ac:dyDescent="0.25">
      <c r="A27" s="259">
        <v>18</v>
      </c>
      <c r="B27" s="182" t="s">
        <v>740</v>
      </c>
      <c r="C27" s="259">
        <v>2110</v>
      </c>
      <c r="D27" s="190">
        <v>159718.14000000001</v>
      </c>
      <c r="E27" s="190"/>
      <c r="F27" s="382">
        <v>31486</v>
      </c>
      <c r="G27" s="383">
        <f t="shared" si="1"/>
        <v>191204.14</v>
      </c>
      <c r="H27" s="243"/>
      <c r="I27" s="243"/>
      <c r="J27" s="243"/>
      <c r="K27" s="243"/>
      <c r="L27" s="243"/>
      <c r="M27" s="243"/>
    </row>
    <row r="28" spans="1:13" x14ac:dyDescent="0.25">
      <c r="A28" s="259" t="s">
        <v>453</v>
      </c>
      <c r="B28" s="182" t="s">
        <v>89</v>
      </c>
      <c r="C28" s="259">
        <v>2441</v>
      </c>
      <c r="D28" s="190">
        <v>66306</v>
      </c>
      <c r="E28" s="190"/>
      <c r="F28" s="382">
        <v>17737</v>
      </c>
      <c r="G28" s="383">
        <f t="shared" si="1"/>
        <v>84043</v>
      </c>
      <c r="H28" s="243"/>
      <c r="I28" s="243"/>
      <c r="J28" s="243"/>
      <c r="K28" s="243"/>
      <c r="L28" s="243"/>
      <c r="M28" s="243"/>
    </row>
    <row r="29" spans="1:13" x14ac:dyDescent="0.25">
      <c r="A29" s="259" t="s">
        <v>523</v>
      </c>
      <c r="B29" s="182" t="s">
        <v>91</v>
      </c>
      <c r="C29" s="259">
        <v>2442</v>
      </c>
      <c r="D29" s="190">
        <v>24536</v>
      </c>
      <c r="E29" s="190"/>
      <c r="F29" s="382">
        <v>12170</v>
      </c>
      <c r="G29" s="383">
        <f t="shared" si="1"/>
        <v>36706</v>
      </c>
      <c r="H29" s="243"/>
      <c r="I29" s="243"/>
      <c r="J29" s="243"/>
      <c r="K29" s="243"/>
      <c r="L29" s="243"/>
      <c r="M29" s="243"/>
    </row>
    <row r="30" spans="1:13" x14ac:dyDescent="0.25">
      <c r="A30" s="259" t="s">
        <v>454</v>
      </c>
      <c r="B30" s="182" t="s">
        <v>92</v>
      </c>
      <c r="C30" s="259">
        <v>2443</v>
      </c>
      <c r="D30" s="190">
        <v>28466</v>
      </c>
      <c r="E30" s="190"/>
      <c r="F30" s="382">
        <v>2938</v>
      </c>
      <c r="G30" s="383">
        <f t="shared" si="1"/>
        <v>31404</v>
      </c>
      <c r="H30" s="243"/>
      <c r="I30" s="243"/>
      <c r="J30" s="243"/>
      <c r="K30" s="243"/>
      <c r="L30" s="243"/>
      <c r="M30" s="243"/>
    </row>
    <row r="31" spans="1:13" x14ac:dyDescent="0.25">
      <c r="A31" s="259" t="s">
        <v>455</v>
      </c>
      <c r="B31" s="182" t="s">
        <v>93</v>
      </c>
      <c r="C31" s="259">
        <v>2444</v>
      </c>
      <c r="D31" s="190">
        <v>17475</v>
      </c>
      <c r="E31" s="190"/>
      <c r="F31" s="382">
        <v>5023</v>
      </c>
      <c r="G31" s="383">
        <f t="shared" si="1"/>
        <v>22498</v>
      </c>
      <c r="H31" s="243"/>
      <c r="I31" s="243"/>
      <c r="J31" s="243"/>
      <c r="K31" s="243"/>
      <c r="L31" s="243"/>
      <c r="M31" s="243"/>
    </row>
    <row r="32" spans="1:13" x14ac:dyDescent="0.25">
      <c r="A32" s="259">
        <v>13</v>
      </c>
      <c r="B32" s="182" t="s">
        <v>739</v>
      </c>
      <c r="C32" s="259">
        <v>2107</v>
      </c>
      <c r="D32" s="190">
        <v>966960.38</v>
      </c>
      <c r="E32" s="190"/>
      <c r="F32" s="382">
        <v>133966</v>
      </c>
      <c r="G32" s="383">
        <f t="shared" si="1"/>
        <v>1100926.3799999999</v>
      </c>
      <c r="H32" s="243"/>
      <c r="I32" s="243"/>
      <c r="J32" s="243"/>
      <c r="K32" s="243"/>
      <c r="L32" s="243"/>
      <c r="M32" s="243"/>
    </row>
    <row r="33" spans="1:13" x14ac:dyDescent="0.25">
      <c r="A33" s="259">
        <v>10</v>
      </c>
      <c r="B33" s="182" t="s">
        <v>837</v>
      </c>
      <c r="C33" s="259">
        <v>2106</v>
      </c>
      <c r="D33" s="190">
        <v>106775.88</v>
      </c>
      <c r="E33" s="190"/>
      <c r="F33" s="382">
        <v>15107</v>
      </c>
      <c r="G33" s="383">
        <f t="shared" si="1"/>
        <v>121882.88</v>
      </c>
      <c r="H33" s="243"/>
      <c r="I33" s="243"/>
      <c r="J33" s="243"/>
      <c r="K33" s="243"/>
      <c r="L33" s="243"/>
      <c r="M33" s="243"/>
    </row>
    <row r="34" spans="1:13" x14ac:dyDescent="0.25">
      <c r="A34" s="259">
        <v>11</v>
      </c>
      <c r="B34" s="182" t="s">
        <v>836</v>
      </c>
      <c r="C34" s="259">
        <v>2102</v>
      </c>
      <c r="D34" s="190">
        <v>317423.55</v>
      </c>
      <c r="E34" s="190"/>
      <c r="F34" s="382">
        <v>127397</v>
      </c>
      <c r="G34" s="383">
        <f t="shared" si="1"/>
        <v>444820.55</v>
      </c>
      <c r="H34" s="243"/>
      <c r="I34" s="243"/>
      <c r="J34" s="243"/>
      <c r="K34" s="243"/>
      <c r="L34" s="243"/>
      <c r="M34" s="243"/>
    </row>
    <row r="35" spans="1:13" x14ac:dyDescent="0.25">
      <c r="A35" s="384" t="s">
        <v>383</v>
      </c>
      <c r="B35" s="182" t="s">
        <v>387</v>
      </c>
      <c r="C35" s="259">
        <v>2100</v>
      </c>
      <c r="D35" s="190">
        <v>2014721.11</v>
      </c>
      <c r="E35" s="190"/>
      <c r="F35" s="382">
        <v>57978</v>
      </c>
      <c r="G35" s="383">
        <f t="shared" si="1"/>
        <v>2072699.11</v>
      </c>
      <c r="H35" s="243"/>
      <c r="I35" s="243"/>
      <c r="J35" s="243"/>
      <c r="K35" s="243"/>
      <c r="L35" s="243"/>
      <c r="M35" s="243"/>
    </row>
    <row r="36" spans="1:13" x14ac:dyDescent="0.25">
      <c r="A36" s="259">
        <v>30</v>
      </c>
      <c r="B36" s="182" t="s">
        <v>833</v>
      </c>
      <c r="C36" s="259">
        <v>2109</v>
      </c>
      <c r="D36" s="190">
        <v>980888</v>
      </c>
      <c r="E36" s="190"/>
      <c r="F36" s="382">
        <v>201692</v>
      </c>
      <c r="G36" s="383">
        <f t="shared" si="1"/>
        <v>1182580</v>
      </c>
      <c r="H36" s="243"/>
      <c r="I36" s="243"/>
      <c r="J36" s="243"/>
      <c r="K36" s="243"/>
      <c r="L36" s="243"/>
      <c r="M36" s="243"/>
    </row>
    <row r="37" spans="1:13" x14ac:dyDescent="0.25">
      <c r="A37" s="259">
        <v>16</v>
      </c>
      <c r="B37" s="182" t="s">
        <v>834</v>
      </c>
      <c r="C37" s="259">
        <v>2108</v>
      </c>
      <c r="D37" s="190">
        <v>1772569</v>
      </c>
      <c r="E37" s="190"/>
      <c r="F37" s="382">
        <v>302615</v>
      </c>
      <c r="G37" s="383">
        <f t="shared" si="1"/>
        <v>2075184</v>
      </c>
      <c r="H37" s="243"/>
      <c r="I37" s="243"/>
      <c r="J37" s="243"/>
      <c r="K37" s="243"/>
      <c r="L37" s="243"/>
      <c r="M37" s="243"/>
    </row>
    <row r="38" spans="1:13" x14ac:dyDescent="0.25">
      <c r="A38" s="259">
        <v>39</v>
      </c>
      <c r="B38" s="182" t="s">
        <v>835</v>
      </c>
      <c r="C38" s="259">
        <v>2112</v>
      </c>
      <c r="D38" s="190">
        <v>1400032.98</v>
      </c>
      <c r="E38" s="190"/>
      <c r="F38" s="382">
        <v>317563</v>
      </c>
      <c r="G38" s="383">
        <f t="shared" si="1"/>
        <v>1717595.98</v>
      </c>
      <c r="H38" s="243"/>
      <c r="I38" s="243"/>
      <c r="J38" s="243"/>
      <c r="K38" s="243"/>
      <c r="L38" s="243"/>
      <c r="M38" s="243"/>
    </row>
    <row r="39" spans="1:13" x14ac:dyDescent="0.25">
      <c r="A39" s="259"/>
      <c r="B39" s="182" t="s">
        <v>573</v>
      </c>
      <c r="C39" s="259">
        <v>2420</v>
      </c>
      <c r="D39" s="190">
        <v>7063.56</v>
      </c>
      <c r="E39" s="190"/>
      <c r="F39" s="382">
        <v>0</v>
      </c>
      <c r="G39" s="383">
        <f t="shared" si="1"/>
        <v>7063.56</v>
      </c>
      <c r="H39" s="243"/>
      <c r="I39" s="243"/>
      <c r="J39" s="243"/>
      <c r="K39" s="243"/>
      <c r="L39" s="243"/>
      <c r="M39" s="243"/>
    </row>
    <row r="40" spans="1:13" x14ac:dyDescent="0.25">
      <c r="A40" s="259" t="s">
        <v>81</v>
      </c>
      <c r="B40" s="182" t="s">
        <v>82</v>
      </c>
      <c r="C40" s="259">
        <v>2421</v>
      </c>
      <c r="D40" s="190">
        <v>442011</v>
      </c>
      <c r="E40" s="190"/>
      <c r="F40" s="382">
        <v>53074</v>
      </c>
      <c r="G40" s="383">
        <f t="shared" si="1"/>
        <v>495085</v>
      </c>
      <c r="H40" s="243"/>
      <c r="I40" s="243"/>
      <c r="J40" s="243"/>
      <c r="K40" s="243"/>
      <c r="L40" s="243"/>
      <c r="M40" s="243"/>
    </row>
    <row r="41" spans="1:13" x14ac:dyDescent="0.25">
      <c r="A41" s="259" t="s">
        <v>447</v>
      </c>
      <c r="B41" s="182" t="s">
        <v>84</v>
      </c>
      <c r="C41" s="259">
        <v>2422</v>
      </c>
      <c r="D41" s="190">
        <v>34749</v>
      </c>
      <c r="E41" s="190"/>
      <c r="F41" s="382">
        <v>14450</v>
      </c>
      <c r="G41" s="383">
        <f t="shared" si="1"/>
        <v>49199</v>
      </c>
      <c r="H41" s="243"/>
      <c r="I41" s="243"/>
      <c r="J41" s="243"/>
      <c r="K41" s="243"/>
      <c r="L41" s="243"/>
      <c r="M41" s="243"/>
    </row>
    <row r="42" spans="1:13" x14ac:dyDescent="0.25">
      <c r="A42" s="259" t="s">
        <v>446</v>
      </c>
      <c r="B42" s="182" t="s">
        <v>83</v>
      </c>
      <c r="C42" s="259">
        <v>2423</v>
      </c>
      <c r="D42" s="190">
        <v>5000</v>
      </c>
      <c r="E42" s="190"/>
      <c r="F42" s="382">
        <v>2945</v>
      </c>
      <c r="G42" s="383">
        <f t="shared" si="1"/>
        <v>7945</v>
      </c>
      <c r="H42" s="243"/>
      <c r="I42" s="243"/>
      <c r="J42" s="243"/>
      <c r="K42" s="243"/>
      <c r="L42" s="243"/>
      <c r="M42" s="243"/>
    </row>
    <row r="43" spans="1:13" x14ac:dyDescent="0.25">
      <c r="A43" s="259" t="s">
        <v>448</v>
      </c>
      <c r="B43" s="182" t="s">
        <v>315</v>
      </c>
      <c r="C43" s="259">
        <v>2424</v>
      </c>
      <c r="D43" s="190">
        <v>66032</v>
      </c>
      <c r="E43" s="190"/>
      <c r="F43" s="382">
        <v>34658</v>
      </c>
      <c r="G43" s="383">
        <f t="shared" si="1"/>
        <v>100690</v>
      </c>
      <c r="H43" s="243"/>
      <c r="I43" s="243"/>
      <c r="J43" s="243"/>
      <c r="K43" s="243"/>
      <c r="L43" s="243"/>
      <c r="M43" s="243"/>
    </row>
    <row r="44" spans="1:13" x14ac:dyDescent="0.25">
      <c r="A44" s="259" t="s">
        <v>449</v>
      </c>
      <c r="B44" s="182" t="s">
        <v>85</v>
      </c>
      <c r="C44" s="259">
        <v>2425</v>
      </c>
      <c r="D44" s="190">
        <v>29926</v>
      </c>
      <c r="E44" s="190"/>
      <c r="F44" s="382">
        <v>3642</v>
      </c>
      <c r="G44" s="383">
        <f t="shared" si="1"/>
        <v>33568</v>
      </c>
      <c r="H44" s="243"/>
      <c r="I44" s="243"/>
      <c r="J44" s="243"/>
      <c r="K44" s="243"/>
      <c r="L44" s="243"/>
      <c r="M44" s="243"/>
    </row>
    <row r="45" spans="1:13" x14ac:dyDescent="0.25">
      <c r="A45" s="259" t="s">
        <v>384</v>
      </c>
      <c r="B45" s="182" t="s">
        <v>90</v>
      </c>
      <c r="C45" s="259">
        <v>2426</v>
      </c>
      <c r="D45" s="190">
        <v>38553</v>
      </c>
      <c r="E45" s="190"/>
      <c r="F45" s="382">
        <v>9385</v>
      </c>
      <c r="G45" s="383">
        <f t="shared" si="1"/>
        <v>47938</v>
      </c>
      <c r="H45" s="243"/>
      <c r="I45" s="243"/>
      <c r="J45" s="243"/>
      <c r="K45" s="243"/>
      <c r="L45" s="243"/>
      <c r="M45" s="243"/>
    </row>
    <row r="46" spans="1:13" x14ac:dyDescent="0.25">
      <c r="A46" s="259">
        <v>6</v>
      </c>
      <c r="B46" s="182" t="s">
        <v>840</v>
      </c>
      <c r="C46" s="259">
        <v>2105</v>
      </c>
      <c r="D46" s="190">
        <v>722459.26</v>
      </c>
      <c r="E46" s="190"/>
      <c r="F46" s="382">
        <v>53159</v>
      </c>
      <c r="G46" s="383">
        <f t="shared" si="1"/>
        <v>775618.26</v>
      </c>
      <c r="H46" s="243"/>
      <c r="I46" s="243"/>
      <c r="J46" s="243"/>
      <c r="K46" s="243"/>
      <c r="L46" s="243"/>
      <c r="M46" s="243"/>
    </row>
    <row r="47" spans="1:13" x14ac:dyDescent="0.25">
      <c r="A47" s="259">
        <v>5</v>
      </c>
      <c r="B47" s="182" t="s">
        <v>839</v>
      </c>
      <c r="C47" s="259">
        <v>2104</v>
      </c>
      <c r="D47" s="190">
        <v>86090.96</v>
      </c>
      <c r="E47" s="190"/>
      <c r="F47" s="382">
        <v>12928</v>
      </c>
      <c r="G47" s="383">
        <f t="shared" si="1"/>
        <v>99018.96</v>
      </c>
      <c r="H47" s="243"/>
      <c r="I47" s="243"/>
      <c r="J47" s="243"/>
      <c r="K47" s="243"/>
      <c r="L47" s="243"/>
      <c r="M47" s="243"/>
    </row>
    <row r="48" spans="1:13" x14ac:dyDescent="0.25">
      <c r="A48" s="259" t="s">
        <v>450</v>
      </c>
      <c r="B48" s="182" t="s">
        <v>86</v>
      </c>
      <c r="C48" s="259">
        <v>2445</v>
      </c>
      <c r="D48" s="190">
        <v>87869.54</v>
      </c>
      <c r="E48" s="190"/>
      <c r="F48" s="382">
        <v>4948</v>
      </c>
      <c r="G48" s="383">
        <f t="shared" si="1"/>
        <v>92817.54</v>
      </c>
      <c r="H48" s="243"/>
      <c r="I48" s="243"/>
      <c r="J48" s="243"/>
      <c r="K48" s="243"/>
      <c r="L48" s="243"/>
      <c r="M48" s="243"/>
    </row>
    <row r="49" spans="1:56" x14ac:dyDescent="0.25">
      <c r="A49" s="259" t="s">
        <v>451</v>
      </c>
      <c r="B49" s="182" t="s">
        <v>87</v>
      </c>
      <c r="C49" s="259">
        <v>2446</v>
      </c>
      <c r="D49" s="190">
        <v>22700.14</v>
      </c>
      <c r="E49" s="190"/>
      <c r="F49" s="382">
        <v>2488</v>
      </c>
      <c r="G49" s="383">
        <f t="shared" si="1"/>
        <v>25188.14</v>
      </c>
      <c r="H49" s="243"/>
      <c r="I49" s="243"/>
      <c r="J49" s="243"/>
      <c r="K49" s="243"/>
      <c r="L49" s="243"/>
      <c r="M49" s="243"/>
    </row>
    <row r="50" spans="1:56" x14ac:dyDescent="0.25">
      <c r="A50" s="259" t="s">
        <v>452</v>
      </c>
      <c r="B50" s="182" t="s">
        <v>88</v>
      </c>
      <c r="C50" s="259">
        <v>2447</v>
      </c>
      <c r="D50" s="190">
        <v>37445.919999999998</v>
      </c>
      <c r="E50" s="190"/>
      <c r="F50" s="382">
        <v>2377</v>
      </c>
      <c r="G50" s="383">
        <f t="shared" si="1"/>
        <v>39822.92</v>
      </c>
      <c r="H50" s="243"/>
      <c r="I50" s="243"/>
      <c r="J50" s="243"/>
      <c r="K50" s="243"/>
      <c r="L50" s="243"/>
      <c r="M50" s="243"/>
    </row>
    <row r="51" spans="1:56" x14ac:dyDescent="0.25">
      <c r="A51" s="259"/>
      <c r="B51" s="182" t="s">
        <v>844</v>
      </c>
      <c r="C51" s="259">
        <v>2400</v>
      </c>
      <c r="D51" s="190">
        <v>9518</v>
      </c>
      <c r="E51" s="190"/>
      <c r="F51" s="382">
        <v>3195</v>
      </c>
      <c r="G51" s="383">
        <f t="shared" si="1"/>
        <v>12713</v>
      </c>
      <c r="H51" s="243"/>
      <c r="I51" s="243"/>
      <c r="J51" s="243"/>
      <c r="K51" s="243"/>
      <c r="L51" s="243"/>
      <c r="M51" s="243"/>
    </row>
    <row r="52" spans="1:56" x14ac:dyDescent="0.25">
      <c r="A52" s="259">
        <v>31</v>
      </c>
      <c r="B52" s="182" t="s">
        <v>841</v>
      </c>
      <c r="C52" s="259">
        <v>2111</v>
      </c>
      <c r="D52" s="190">
        <v>515396</v>
      </c>
      <c r="E52" s="190"/>
      <c r="F52" s="382">
        <v>167431</v>
      </c>
      <c r="G52" s="383">
        <f t="shared" si="1"/>
        <v>682827</v>
      </c>
      <c r="H52" s="243"/>
      <c r="I52" s="243"/>
      <c r="J52" s="243"/>
      <c r="K52" s="243"/>
      <c r="L52" s="243"/>
      <c r="M52" s="243"/>
    </row>
    <row r="53" spans="1:56" x14ac:dyDescent="0.25">
      <c r="A53" s="259"/>
      <c r="B53" s="182" t="s">
        <v>853</v>
      </c>
      <c r="C53" s="259"/>
      <c r="D53" s="190">
        <v>0</v>
      </c>
      <c r="E53" s="190"/>
      <c r="F53" s="382">
        <v>7178</v>
      </c>
      <c r="G53" s="383">
        <f t="shared" si="1"/>
        <v>7178</v>
      </c>
      <c r="H53" s="243"/>
      <c r="I53" s="243"/>
      <c r="J53" s="243"/>
      <c r="K53" s="243"/>
      <c r="L53" s="243"/>
      <c r="M53" s="243"/>
    </row>
    <row r="54" spans="1:56" x14ac:dyDescent="0.25">
      <c r="A54" s="259"/>
      <c r="B54" s="182" t="s">
        <v>574</v>
      </c>
      <c r="C54" s="259">
        <v>2440</v>
      </c>
      <c r="D54" s="190">
        <v>4396.2299999999996</v>
      </c>
      <c r="E54" s="190"/>
      <c r="F54" s="382">
        <v>0</v>
      </c>
      <c r="G54" s="383">
        <f t="shared" si="1"/>
        <v>4396.2299999999996</v>
      </c>
      <c r="H54" s="243"/>
      <c r="I54" s="243"/>
      <c r="J54" s="243"/>
      <c r="K54" s="243"/>
      <c r="L54" s="243"/>
      <c r="M54" s="243"/>
    </row>
    <row r="55" spans="1:56" x14ac:dyDescent="0.25">
      <c r="A55" s="259"/>
      <c r="B55" s="182" t="s">
        <v>780</v>
      </c>
      <c r="C55" s="259">
        <v>2800</v>
      </c>
      <c r="D55" s="190">
        <v>17968.669999999998</v>
      </c>
      <c r="E55" s="190"/>
      <c r="F55" s="382">
        <v>119907</v>
      </c>
      <c r="G55" s="383">
        <f t="shared" si="1"/>
        <v>137875.66999999998</v>
      </c>
      <c r="H55" s="243"/>
      <c r="I55" s="243"/>
      <c r="J55" s="243"/>
      <c r="K55" s="243"/>
      <c r="L55" s="243"/>
      <c r="M55" s="243"/>
    </row>
    <row r="56" spans="1:56" x14ac:dyDescent="0.25">
      <c r="A56" s="259"/>
      <c r="B56" s="182" t="s">
        <v>849</v>
      </c>
      <c r="C56" s="259"/>
      <c r="D56" s="190">
        <v>0</v>
      </c>
      <c r="E56" s="190"/>
      <c r="F56" s="382">
        <v>400</v>
      </c>
      <c r="G56" s="383">
        <f t="shared" si="1"/>
        <v>400</v>
      </c>
      <c r="H56" s="243"/>
      <c r="I56" s="243"/>
      <c r="J56" s="243"/>
      <c r="K56" s="243"/>
      <c r="L56" s="243"/>
      <c r="M56" s="243"/>
    </row>
    <row r="57" spans="1:56" x14ac:dyDescent="0.25">
      <c r="A57" s="259"/>
      <c r="B57" s="182" t="s">
        <v>850</v>
      </c>
      <c r="C57" s="259"/>
      <c r="D57" s="190">
        <v>0</v>
      </c>
      <c r="E57" s="190"/>
      <c r="F57" s="382">
        <v>700</v>
      </c>
      <c r="G57" s="383">
        <f t="shared" si="1"/>
        <v>700</v>
      </c>
      <c r="H57" s="243"/>
      <c r="I57" s="243"/>
      <c r="J57" s="243"/>
      <c r="K57" s="243"/>
      <c r="L57" s="243"/>
      <c r="M57" s="243"/>
    </row>
    <row r="58" spans="1:56" x14ac:dyDescent="0.25">
      <c r="A58" s="259"/>
      <c r="B58" s="182" t="s">
        <v>851</v>
      </c>
      <c r="C58" s="259"/>
      <c r="D58" s="190">
        <v>0</v>
      </c>
      <c r="E58" s="190"/>
      <c r="F58" s="382">
        <v>6687</v>
      </c>
      <c r="G58" s="383">
        <f t="shared" si="1"/>
        <v>6687</v>
      </c>
      <c r="H58" s="243"/>
      <c r="I58" s="243"/>
      <c r="J58" s="243"/>
      <c r="K58" s="243"/>
      <c r="L58" s="243"/>
      <c r="M58" s="243"/>
    </row>
    <row r="59" spans="1:56" ht="16.5" thickBot="1" x14ac:dyDescent="0.3">
      <c r="A59" s="259" t="s">
        <v>78</v>
      </c>
      <c r="B59" s="182" t="s">
        <v>847</v>
      </c>
      <c r="C59" s="259" t="s">
        <v>846</v>
      </c>
      <c r="D59" s="190">
        <v>714991</v>
      </c>
      <c r="E59" s="190"/>
      <c r="F59" s="382">
        <v>0</v>
      </c>
      <c r="G59" s="383">
        <f t="shared" ref="G59" si="2">SUM(D59:F59)</f>
        <v>714991</v>
      </c>
      <c r="H59" s="243"/>
      <c r="I59" s="243"/>
      <c r="J59" s="243"/>
      <c r="K59" s="243"/>
      <c r="L59" s="243"/>
      <c r="M59" s="243"/>
    </row>
    <row r="60" spans="1:56" s="237" customFormat="1" ht="21.75" customHeight="1" thickTop="1" thickBot="1" x14ac:dyDescent="0.3">
      <c r="A60" s="385" t="s">
        <v>47</v>
      </c>
      <c r="B60" s="385" t="s">
        <v>0</v>
      </c>
      <c r="C60" s="385"/>
      <c r="D60" s="817">
        <f>SUM(D3:D59)</f>
        <v>13938935.000000004</v>
      </c>
      <c r="E60" s="386">
        <f>SUM(E3:E59)</f>
        <v>0</v>
      </c>
      <c r="F60" s="818">
        <f>SUM(F3:F59)</f>
        <v>2047618</v>
      </c>
      <c r="G60" s="387">
        <f>SUM(G3:G59)</f>
        <v>15986553.000000004</v>
      </c>
      <c r="H60" s="388"/>
      <c r="I60" s="388"/>
      <c r="J60" s="388"/>
      <c r="K60" s="388"/>
      <c r="L60" s="388"/>
      <c r="M60" s="388"/>
      <c r="N60" s="340"/>
      <c r="O60" s="340"/>
      <c r="P60" s="340"/>
      <c r="Q60" s="340"/>
      <c r="R60" s="340"/>
      <c r="S60" s="340"/>
      <c r="T60" s="340"/>
      <c r="U60" s="340"/>
      <c r="V60" s="340"/>
      <c r="W60" s="340"/>
      <c r="X60" s="340"/>
      <c r="Y60" s="340"/>
      <c r="Z60" s="340"/>
      <c r="AA60" s="340"/>
      <c r="AB60" s="340"/>
      <c r="AC60" s="340"/>
      <c r="AD60" s="340"/>
      <c r="AE60" s="340"/>
      <c r="AF60" s="340"/>
      <c r="AG60" s="340"/>
      <c r="AH60" s="340"/>
      <c r="AI60" s="340"/>
      <c r="AJ60" s="340"/>
      <c r="AK60" s="340"/>
      <c r="AL60" s="340"/>
      <c r="AM60" s="340"/>
      <c r="AN60" s="340"/>
      <c r="AO60" s="340"/>
      <c r="AP60" s="340"/>
      <c r="AQ60" s="340"/>
      <c r="AR60" s="340"/>
      <c r="AS60" s="340"/>
      <c r="AT60" s="340"/>
      <c r="AU60" s="340"/>
      <c r="AV60" s="340"/>
      <c r="AW60" s="340"/>
      <c r="AX60" s="340"/>
      <c r="AY60" s="340"/>
      <c r="AZ60" s="340"/>
      <c r="BA60" s="340"/>
      <c r="BB60" s="340"/>
      <c r="BC60" s="340"/>
      <c r="BD60" s="340"/>
    </row>
    <row r="61" spans="1:56" ht="16.5" thickTop="1" x14ac:dyDescent="0.25">
      <c r="A61" s="230"/>
      <c r="D61" s="389"/>
      <c r="E61" s="390"/>
      <c r="F61" s="389"/>
      <c r="G61" s="243"/>
      <c r="H61" s="243"/>
      <c r="I61" s="243"/>
      <c r="J61" s="243"/>
      <c r="K61" s="243"/>
      <c r="L61" s="243"/>
      <c r="M61" s="243"/>
    </row>
    <row r="62" spans="1:56" s="550" customFormat="1" ht="12" x14ac:dyDescent="0.2">
      <c r="A62" s="511"/>
      <c r="C62" s="814"/>
      <c r="D62" s="616">
        <v>13938935</v>
      </c>
      <c r="E62" s="815"/>
      <c r="F62" s="816">
        <v>2047618</v>
      </c>
      <c r="G62" s="556"/>
      <c r="H62" s="556"/>
      <c r="I62" s="556"/>
      <c r="J62" s="556"/>
      <c r="K62" s="556"/>
      <c r="L62" s="556"/>
      <c r="M62" s="556"/>
    </row>
    <row r="63" spans="1:56" s="550" customFormat="1" ht="12" x14ac:dyDescent="0.2">
      <c r="A63" s="511"/>
      <c r="C63" s="511"/>
      <c r="D63" s="816">
        <f>D60-D62</f>
        <v>0</v>
      </c>
      <c r="E63" s="815"/>
      <c r="F63" s="816">
        <f>F60-F62</f>
        <v>0</v>
      </c>
      <c r="G63" s="556"/>
      <c r="H63" s="556"/>
      <c r="I63" s="556"/>
      <c r="J63" s="556"/>
      <c r="K63" s="556"/>
      <c r="L63" s="556"/>
      <c r="M63" s="556"/>
    </row>
    <row r="64" spans="1:56" x14ac:dyDescent="0.25">
      <c r="A64" s="238" t="s">
        <v>852</v>
      </c>
      <c r="E64" s="616"/>
      <c r="F64" s="389"/>
      <c r="G64" s="243"/>
      <c r="H64" s="243"/>
      <c r="I64" s="243"/>
      <c r="J64" s="243"/>
      <c r="K64" s="243"/>
      <c r="L64" s="243"/>
      <c r="M64" s="243"/>
    </row>
    <row r="65" spans="4:6" x14ac:dyDescent="0.25">
      <c r="D65" s="389"/>
      <c r="E65" s="617"/>
      <c r="F65" s="389"/>
    </row>
    <row r="66" spans="4:6" x14ac:dyDescent="0.25">
      <c r="F66" s="389"/>
    </row>
    <row r="67" spans="4:6" x14ac:dyDescent="0.25">
      <c r="E67" s="243"/>
      <c r="F67" s="389"/>
    </row>
  </sheetData>
  <autoFilter ref="A2:G62" xr:uid="{00000000-0009-0000-0000-00000A000000}"/>
  <mergeCells count="1">
    <mergeCell ref="A1:G1"/>
  </mergeCells>
  <phoneticPr fontId="21" type="noConversion"/>
  <printOptions horizontalCentered="1"/>
  <pageMargins left="0" right="0" top="1.25" bottom="1" header="0.33" footer="0.5"/>
  <pageSetup scale="91" fitToHeight="0" orientation="portrait" r:id="rId1"/>
  <headerFooter alignWithMargins="0">
    <oddHeader>&amp;C&amp;"Arial,Bold"&amp;12DEPARTMENT OF CORRECTIONS
 COST OF CARE Year 2019
(Based on Fiscal Year 2018 Actuals)</oddHeader>
    <oddFooter>&amp;L&amp;8&amp;Z&amp;F&amp;R&amp;8&amp;D
&amp;P of &amp;N</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BE40"/>
  <sheetViews>
    <sheetView showGridLines="0" workbookViewId="0">
      <pane xSplit="1" ySplit="2" topLeftCell="B15" activePane="bottomRight" state="frozen"/>
      <selection activeCell="B35" sqref="B35"/>
      <selection pane="topRight" activeCell="B35" sqref="B35"/>
      <selection pane="bottomLeft" activeCell="B35" sqref="B35"/>
      <selection pane="bottomRight" activeCell="J31" sqref="J31"/>
    </sheetView>
  </sheetViews>
  <sheetFormatPr defaultColWidth="9.140625" defaultRowHeight="12.75" x14ac:dyDescent="0.2"/>
  <cols>
    <col min="1" max="1" width="31.85546875" style="179" customWidth="1"/>
    <col min="2" max="2" width="12.7109375" style="179" customWidth="1"/>
    <col min="3" max="3" width="10.85546875" style="179" customWidth="1"/>
    <col min="4" max="4" width="17.28515625" style="314" customWidth="1"/>
    <col min="5" max="5" width="16" style="179" customWidth="1"/>
    <col min="6" max="6" width="17.5703125" style="179" bestFit="1" customWidth="1"/>
    <col min="7" max="7" width="12" style="261" bestFit="1" customWidth="1"/>
    <col min="8" max="9" width="9.140625" style="179"/>
    <col min="10" max="10" width="12" style="179" bestFit="1" customWidth="1"/>
    <col min="11" max="16384" width="9.140625" style="179"/>
  </cols>
  <sheetData>
    <row r="1" spans="1:8" ht="28.5" customHeight="1" thickBot="1" x14ac:dyDescent="0.25">
      <c r="A1" s="970" t="s">
        <v>229</v>
      </c>
      <c r="B1" s="970"/>
      <c r="C1" s="970"/>
      <c r="D1" s="970"/>
      <c r="E1" s="970"/>
      <c r="F1" s="970"/>
    </row>
    <row r="2" spans="1:8" ht="33" thickTop="1" thickBot="1" x14ac:dyDescent="0.25">
      <c r="A2" s="333" t="s">
        <v>67</v>
      </c>
      <c r="B2" s="333" t="s">
        <v>697</v>
      </c>
      <c r="C2" s="333" t="s">
        <v>698</v>
      </c>
      <c r="D2" s="391" t="s">
        <v>68</v>
      </c>
      <c r="E2" s="334" t="s">
        <v>69</v>
      </c>
      <c r="F2" s="333" t="s">
        <v>26</v>
      </c>
      <c r="G2" s="791" t="s">
        <v>894</v>
      </c>
    </row>
    <row r="3" spans="1:8" ht="15.75" customHeight="1" thickTop="1" x14ac:dyDescent="0.25">
      <c r="A3" s="182" t="s">
        <v>63</v>
      </c>
      <c r="B3" s="259"/>
      <c r="C3" s="259"/>
      <c r="D3" s="196">
        <v>97432</v>
      </c>
      <c r="E3" s="191"/>
      <c r="F3" s="315">
        <f>SUM(D3:E3)</f>
        <v>97432</v>
      </c>
      <c r="G3" s="261">
        <v>5200</v>
      </c>
      <c r="H3" s="179" t="s">
        <v>946</v>
      </c>
    </row>
    <row r="4" spans="1:8" ht="15.75" customHeight="1" x14ac:dyDescent="0.25">
      <c r="A4" s="182" t="s">
        <v>64</v>
      </c>
      <c r="B4" s="259"/>
      <c r="C4" s="259"/>
      <c r="D4" s="196">
        <v>0</v>
      </c>
      <c r="E4" s="191"/>
      <c r="F4" s="191">
        <f t="shared" ref="F4:F30" si="0">SUM(D4:E4)</f>
        <v>0</v>
      </c>
    </row>
    <row r="5" spans="1:8" ht="15.75" customHeight="1" x14ac:dyDescent="0.25">
      <c r="A5" s="182" t="s">
        <v>65</v>
      </c>
      <c r="B5" s="259"/>
      <c r="C5" s="259"/>
      <c r="D5" s="196">
        <v>0</v>
      </c>
      <c r="E5" s="191"/>
      <c r="F5" s="191">
        <f t="shared" si="0"/>
        <v>0</v>
      </c>
    </row>
    <row r="6" spans="1:8" ht="15.75" x14ac:dyDescent="0.25">
      <c r="A6" s="182" t="s">
        <v>475</v>
      </c>
      <c r="B6" s="259"/>
      <c r="C6" s="259"/>
      <c r="D6" s="196">
        <v>0</v>
      </c>
      <c r="E6" s="191"/>
      <c r="F6" s="191">
        <f t="shared" si="0"/>
        <v>0</v>
      </c>
    </row>
    <row r="7" spans="1:8" ht="15.75" x14ac:dyDescent="0.25">
      <c r="A7" s="182" t="s">
        <v>844</v>
      </c>
      <c r="B7" s="259" t="s">
        <v>721</v>
      </c>
      <c r="C7" s="259"/>
      <c r="D7" s="196">
        <v>119512.32000000001</v>
      </c>
      <c r="E7" s="191"/>
      <c r="F7" s="191">
        <f t="shared" si="0"/>
        <v>119512.32000000001</v>
      </c>
      <c r="G7" s="261">
        <v>5002</v>
      </c>
      <c r="H7" s="179" t="s">
        <v>947</v>
      </c>
    </row>
    <row r="8" spans="1:8" ht="15.75" x14ac:dyDescent="0.25">
      <c r="A8" s="182" t="s">
        <v>70</v>
      </c>
      <c r="B8" s="259"/>
      <c r="C8" s="259"/>
      <c r="D8" s="196">
        <v>0</v>
      </c>
      <c r="E8" s="191"/>
      <c r="F8" s="191">
        <f t="shared" si="0"/>
        <v>0</v>
      </c>
    </row>
    <row r="9" spans="1:8" ht="15.75" x14ac:dyDescent="0.25">
      <c r="A9" s="182" t="s">
        <v>695</v>
      </c>
      <c r="B9" s="259" t="s">
        <v>696</v>
      </c>
      <c r="C9" s="259" t="s">
        <v>700</v>
      </c>
      <c r="D9" s="196">
        <f>-'Sched-D2'!E41</f>
        <v>64559</v>
      </c>
      <c r="E9" s="191"/>
      <c r="F9" s="315">
        <f>SUM(D9:E9)</f>
        <v>64559</v>
      </c>
      <c r="G9" s="261">
        <v>5014</v>
      </c>
    </row>
    <row r="10" spans="1:8" ht="15.75" x14ac:dyDescent="0.25">
      <c r="A10" s="182" t="s">
        <v>695</v>
      </c>
      <c r="B10" s="259" t="s">
        <v>696</v>
      </c>
      <c r="C10" s="259" t="s">
        <v>700</v>
      </c>
      <c r="D10" s="196">
        <f>-'Sched-D2'!E43</f>
        <v>116576.98999999999</v>
      </c>
      <c r="E10" s="191"/>
      <c r="F10" s="315">
        <f>SUM(D10:E10)</f>
        <v>116576.98999999999</v>
      </c>
      <c r="G10" s="261">
        <v>5301</v>
      </c>
    </row>
    <row r="11" spans="1:8" ht="15.75" x14ac:dyDescent="0.25">
      <c r="A11" s="182" t="s">
        <v>695</v>
      </c>
      <c r="B11" s="259" t="s">
        <v>696</v>
      </c>
      <c r="C11" s="259" t="s">
        <v>699</v>
      </c>
      <c r="D11" s="196">
        <f>-'Sched-D2'!E42</f>
        <v>52400</v>
      </c>
      <c r="E11" s="191"/>
      <c r="F11" s="315">
        <f>SUM(D11:E11)</f>
        <v>52400</v>
      </c>
      <c r="G11" s="261">
        <v>5007</v>
      </c>
    </row>
    <row r="12" spans="1:8" ht="15.75" x14ac:dyDescent="0.25">
      <c r="A12" s="182" t="s">
        <v>701</v>
      </c>
      <c r="B12" s="259" t="s">
        <v>702</v>
      </c>
      <c r="C12" s="259" t="s">
        <v>944</v>
      </c>
      <c r="D12" s="196">
        <f>-'Sched-D2'!E59-'Sched-D2'!E60-'Sched-D2'!E61-'Sched-D2'!E58</f>
        <v>155474.23000000001</v>
      </c>
      <c r="E12" s="191"/>
      <c r="F12" s="315">
        <f t="shared" si="0"/>
        <v>155474.23000000001</v>
      </c>
      <c r="G12" s="261">
        <v>5301</v>
      </c>
      <c r="H12" s="179" t="s">
        <v>943</v>
      </c>
    </row>
    <row r="13" spans="1:8" ht="15.75" x14ac:dyDescent="0.25">
      <c r="A13" s="182" t="s">
        <v>65</v>
      </c>
      <c r="B13" s="259"/>
      <c r="C13" s="259"/>
      <c r="D13" s="196">
        <v>0</v>
      </c>
      <c r="E13" s="191"/>
      <c r="F13" s="191">
        <f t="shared" si="0"/>
        <v>0</v>
      </c>
      <c r="G13" s="792"/>
    </row>
    <row r="14" spans="1:8" ht="15.75" x14ac:dyDescent="0.25">
      <c r="A14" s="182" t="s">
        <v>71</v>
      </c>
      <c r="B14" s="259"/>
      <c r="C14" s="259"/>
      <c r="D14" s="196">
        <v>0</v>
      </c>
      <c r="E14" s="191"/>
      <c r="F14" s="191">
        <f t="shared" si="0"/>
        <v>0</v>
      </c>
    </row>
    <row r="15" spans="1:8" ht="15.75" x14ac:dyDescent="0.25">
      <c r="A15" s="182" t="s">
        <v>892</v>
      </c>
      <c r="B15" s="259" t="s">
        <v>704</v>
      </c>
      <c r="C15" s="259" t="s">
        <v>705</v>
      </c>
      <c r="D15" s="196">
        <f>-'Sched-D2'!E94</f>
        <v>140000</v>
      </c>
      <c r="E15" s="191"/>
      <c r="F15" s="315">
        <f t="shared" si="0"/>
        <v>140000</v>
      </c>
      <c r="G15" s="261">
        <v>5301</v>
      </c>
    </row>
    <row r="16" spans="1:8" ht="15.75" x14ac:dyDescent="0.25">
      <c r="A16" s="182" t="s">
        <v>62</v>
      </c>
      <c r="B16" s="259"/>
      <c r="C16" s="259"/>
      <c r="D16" s="196">
        <v>0</v>
      </c>
      <c r="E16" s="191"/>
      <c r="F16" s="191">
        <f t="shared" si="0"/>
        <v>0</v>
      </c>
    </row>
    <row r="17" spans="1:57" ht="15.75" x14ac:dyDescent="0.25">
      <c r="A17" s="182" t="s">
        <v>294</v>
      </c>
      <c r="B17" s="259"/>
      <c r="C17" s="259"/>
      <c r="D17" s="196"/>
      <c r="E17" s="191"/>
      <c r="F17" s="191"/>
    </row>
    <row r="18" spans="1:57" ht="15.75" x14ac:dyDescent="0.25">
      <c r="A18" s="182" t="s">
        <v>646</v>
      </c>
      <c r="B18" s="259" t="s">
        <v>704</v>
      </c>
      <c r="C18" s="259" t="s">
        <v>706</v>
      </c>
      <c r="D18" s="196">
        <f>-'Sched-D1'!D47</f>
        <v>31113</v>
      </c>
      <c r="E18" s="191"/>
      <c r="F18" s="315">
        <f t="shared" si="0"/>
        <v>31113</v>
      </c>
      <c r="G18" s="261">
        <v>5301</v>
      </c>
    </row>
    <row r="19" spans="1:57" ht="15.75" x14ac:dyDescent="0.25">
      <c r="A19" s="182" t="s">
        <v>645</v>
      </c>
      <c r="B19" s="259"/>
      <c r="C19" s="259"/>
      <c r="D19" s="196">
        <v>0</v>
      </c>
      <c r="E19" s="191"/>
      <c r="F19" s="191">
        <f t="shared" si="0"/>
        <v>0</v>
      </c>
    </row>
    <row r="20" spans="1:57" ht="15.75" x14ac:dyDescent="0.25">
      <c r="A20" s="182" t="s">
        <v>654</v>
      </c>
      <c r="B20" s="259"/>
      <c r="C20" s="259"/>
      <c r="D20" s="196">
        <v>0</v>
      </c>
      <c r="E20" s="191"/>
      <c r="F20" s="191">
        <f t="shared" si="0"/>
        <v>0</v>
      </c>
    </row>
    <row r="21" spans="1:57" ht="15.75" x14ac:dyDescent="0.25">
      <c r="A21" s="182" t="s">
        <v>656</v>
      </c>
      <c r="B21" s="259" t="s">
        <v>704</v>
      </c>
      <c r="C21" s="259" t="s">
        <v>707</v>
      </c>
      <c r="D21" s="196">
        <f>-'Sched-D1'!D193</f>
        <v>7986</v>
      </c>
      <c r="E21" s="191"/>
      <c r="F21" s="392">
        <f t="shared" si="0"/>
        <v>7986</v>
      </c>
      <c r="H21" s="179" t="s">
        <v>942</v>
      </c>
    </row>
    <row r="22" spans="1:57" ht="15.75" x14ac:dyDescent="0.25">
      <c r="A22" s="182" t="s">
        <v>737</v>
      </c>
      <c r="B22" s="259"/>
      <c r="C22" s="259"/>
      <c r="D22" s="196">
        <v>0</v>
      </c>
      <c r="E22" s="191"/>
      <c r="F22" s="191">
        <f t="shared" si="0"/>
        <v>0</v>
      </c>
    </row>
    <row r="23" spans="1:57" ht="15.75" x14ac:dyDescent="0.25">
      <c r="A23" s="182" t="s">
        <v>668</v>
      </c>
      <c r="B23" s="259" t="s">
        <v>704</v>
      </c>
      <c r="C23" s="259" t="s">
        <v>708</v>
      </c>
      <c r="D23" s="196">
        <f>-'Sched-D1'!D300-'Sched-D1'!D299</f>
        <v>372870.5</v>
      </c>
      <c r="E23" s="191"/>
      <c r="F23" s="315">
        <f t="shared" si="0"/>
        <v>372870.5</v>
      </c>
      <c r="G23" s="261">
        <v>5301</v>
      </c>
      <c r="H23" s="179" t="s">
        <v>809</v>
      </c>
    </row>
    <row r="24" spans="1:57" ht="15.75" x14ac:dyDescent="0.25">
      <c r="A24" s="182" t="s">
        <v>738</v>
      </c>
      <c r="B24" s="259"/>
      <c r="C24" s="259"/>
      <c r="D24" s="196">
        <v>0</v>
      </c>
      <c r="E24" s="191"/>
      <c r="F24" s="191">
        <f t="shared" si="0"/>
        <v>0</v>
      </c>
    </row>
    <row r="25" spans="1:57" ht="15.75" x14ac:dyDescent="0.25">
      <c r="A25" s="182" t="s">
        <v>671</v>
      </c>
      <c r="B25" s="259"/>
      <c r="C25" s="259"/>
      <c r="D25" s="196">
        <v>0</v>
      </c>
      <c r="E25" s="191"/>
      <c r="F25" s="191">
        <f t="shared" si="0"/>
        <v>0</v>
      </c>
    </row>
    <row r="26" spans="1:57" ht="15.75" x14ac:dyDescent="0.25">
      <c r="A26" s="182" t="s">
        <v>659</v>
      </c>
      <c r="B26" s="259"/>
      <c r="C26" s="259"/>
      <c r="D26" s="196">
        <v>0</v>
      </c>
      <c r="E26" s="191"/>
      <c r="F26" s="191">
        <f t="shared" si="0"/>
        <v>0</v>
      </c>
    </row>
    <row r="27" spans="1:57" ht="15.75" x14ac:dyDescent="0.25">
      <c r="A27" s="182" t="s">
        <v>660</v>
      </c>
      <c r="B27" s="259"/>
      <c r="C27" s="259"/>
      <c r="D27" s="196">
        <v>0</v>
      </c>
      <c r="E27" s="191"/>
      <c r="F27" s="191">
        <f t="shared" si="0"/>
        <v>0</v>
      </c>
    </row>
    <row r="28" spans="1:57" ht="15.75" x14ac:dyDescent="0.25">
      <c r="A28" s="182" t="s">
        <v>854</v>
      </c>
      <c r="B28" s="259" t="s">
        <v>704</v>
      </c>
      <c r="C28" s="259" t="s">
        <v>709</v>
      </c>
      <c r="D28" s="196">
        <f>-'Sched-D1'!D558</f>
        <v>51528</v>
      </c>
      <c r="E28" s="191"/>
      <c r="F28" s="315">
        <f t="shared" si="0"/>
        <v>51528</v>
      </c>
      <c r="G28" s="261">
        <v>5301</v>
      </c>
      <c r="J28" s="226"/>
    </row>
    <row r="29" spans="1:57" ht="15.75" x14ac:dyDescent="0.25">
      <c r="A29" s="182" t="s">
        <v>74</v>
      </c>
      <c r="B29" s="259"/>
      <c r="C29" s="259"/>
      <c r="D29" s="196">
        <v>0</v>
      </c>
      <c r="E29" s="191"/>
      <c r="F29" s="191">
        <f t="shared" si="0"/>
        <v>0</v>
      </c>
    </row>
    <row r="30" spans="1:57" ht="16.5" thickBot="1" x14ac:dyDescent="0.3">
      <c r="A30" s="182" t="s">
        <v>893</v>
      </c>
      <c r="B30" s="259"/>
      <c r="C30" s="259"/>
      <c r="D30" s="196">
        <v>0</v>
      </c>
      <c r="E30" s="191"/>
      <c r="F30" s="191">
        <f t="shared" si="0"/>
        <v>0</v>
      </c>
    </row>
    <row r="31" spans="1:57" s="228" customFormat="1" ht="21.75" customHeight="1" thickTop="1" thickBot="1" x14ac:dyDescent="0.3">
      <c r="A31" s="385" t="s">
        <v>60</v>
      </c>
      <c r="B31" s="385"/>
      <c r="C31" s="385"/>
      <c r="D31" s="393">
        <f>SUM(D3:D30)</f>
        <v>1209452.04</v>
      </c>
      <c r="E31" s="394">
        <f>SUM(E3:E30)</f>
        <v>0</v>
      </c>
      <c r="F31" s="794">
        <f>SUM(F3:F30)</f>
        <v>1209452.04</v>
      </c>
      <c r="G31" s="793"/>
      <c r="H31" s="381"/>
      <c r="I31" s="381"/>
      <c r="J31" s="381"/>
      <c r="K31" s="381"/>
      <c r="L31" s="381"/>
      <c r="M31" s="381"/>
      <c r="N31" s="381"/>
      <c r="O31" s="381"/>
      <c r="P31" s="381"/>
      <c r="Q31" s="381"/>
      <c r="R31" s="381"/>
      <c r="S31" s="381"/>
      <c r="T31" s="381"/>
      <c r="U31" s="381"/>
      <c r="V31" s="381"/>
      <c r="W31" s="381"/>
      <c r="X31" s="381"/>
      <c r="Y31" s="381"/>
      <c r="Z31" s="381"/>
      <c r="AA31" s="381"/>
      <c r="AB31" s="381"/>
      <c r="AC31" s="381"/>
      <c r="AD31" s="381"/>
      <c r="AE31" s="381"/>
      <c r="AF31" s="381"/>
      <c r="AG31" s="381"/>
      <c r="AH31" s="381"/>
      <c r="AI31" s="381"/>
      <c r="AJ31" s="381"/>
      <c r="AK31" s="381"/>
      <c r="AL31" s="381"/>
      <c r="AM31" s="381"/>
      <c r="AN31" s="381"/>
      <c r="AO31" s="381"/>
      <c r="AP31" s="381"/>
      <c r="AQ31" s="381"/>
      <c r="AR31" s="381"/>
      <c r="AS31" s="381"/>
      <c r="AT31" s="381"/>
      <c r="AU31" s="381"/>
      <c r="AV31" s="381"/>
      <c r="AW31" s="381"/>
      <c r="AX31" s="381"/>
      <c r="AY31" s="381"/>
      <c r="AZ31" s="381"/>
      <c r="BA31" s="381"/>
      <c r="BB31" s="381"/>
      <c r="BC31" s="381"/>
      <c r="BD31" s="381"/>
      <c r="BE31" s="381"/>
    </row>
    <row r="32" spans="1:57" ht="13.5" thickTop="1" x14ac:dyDescent="0.2"/>
    <row r="33" spans="1:6" x14ac:dyDescent="0.2">
      <c r="A33" s="339" t="s">
        <v>951</v>
      </c>
    </row>
    <row r="35" spans="1:6" x14ac:dyDescent="0.2">
      <c r="D35" s="547"/>
    </row>
    <row r="38" spans="1:6" x14ac:dyDescent="0.2">
      <c r="F38" s="226"/>
    </row>
    <row r="40" spans="1:6" x14ac:dyDescent="0.2">
      <c r="F40" s="226"/>
    </row>
  </sheetData>
  <mergeCells count="1">
    <mergeCell ref="A1:F1"/>
  </mergeCells>
  <phoneticPr fontId="21" type="noConversion"/>
  <printOptions horizontalCentered="1"/>
  <pageMargins left="0.75" right="0.75" top="1.25" bottom="1" header="0.33" footer="0.5"/>
  <pageSetup scale="85" orientation="portrait" r:id="rId1"/>
  <headerFooter alignWithMargins="0">
    <oddHeader>&amp;C&amp;"Arial,Bold"&amp;12DEPARTMENT OF CORRECTIONS
 COST OF CARE Year 2019
(Based on Fiscal Year 2018 Actuals)</oddHeader>
    <oddFooter>&amp;L&amp;8&amp;F &amp;A&amp;R&amp;8&amp;D &amp;T</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R77"/>
  <sheetViews>
    <sheetView showGridLines="0" topLeftCell="A40" workbookViewId="0">
      <selection activeCell="K4" sqref="K4"/>
    </sheetView>
  </sheetViews>
  <sheetFormatPr defaultColWidth="9.140625" defaultRowHeight="12.75" x14ac:dyDescent="0.2"/>
  <cols>
    <col min="1" max="2" width="3.7109375" style="179" customWidth="1"/>
    <col min="3" max="3" width="8.5703125" style="179" customWidth="1"/>
    <col min="4" max="4" width="30.5703125" style="179" customWidth="1"/>
    <col min="5" max="5" width="14.28515625" style="261" customWidth="1"/>
    <col min="6" max="6" width="16.28515625" style="179" customWidth="1"/>
    <col min="7" max="7" width="16.42578125" style="179" customWidth="1"/>
    <col min="8" max="8" width="11.42578125" style="179" customWidth="1"/>
    <col min="9" max="9" width="15.42578125" style="179" customWidth="1"/>
    <col min="10" max="10" width="16.140625" style="179" customWidth="1"/>
    <col min="11" max="11" width="16.140625" style="179" bestFit="1" customWidth="1"/>
    <col min="12" max="12" width="14" style="179" customWidth="1"/>
    <col min="13" max="13" width="16" style="179" bestFit="1" customWidth="1"/>
    <col min="14" max="14" width="15" style="179" bestFit="1" customWidth="1"/>
    <col min="15" max="15" width="18.28515625" style="179" customWidth="1"/>
    <col min="16" max="16" width="1.5703125" style="179" customWidth="1"/>
    <col min="17" max="17" width="16.5703125" style="179" customWidth="1"/>
    <col min="18" max="18" width="25.5703125" style="179" customWidth="1"/>
    <col min="19" max="16384" width="9.140625" style="179"/>
  </cols>
  <sheetData>
    <row r="1" spans="1:18" ht="21" customHeight="1" thickBot="1" x14ac:dyDescent="0.25">
      <c r="A1" s="1014" t="s">
        <v>225</v>
      </c>
      <c r="B1" s="1014"/>
      <c r="C1" s="1014"/>
      <c r="D1" s="1014"/>
      <c r="E1" s="1014"/>
      <c r="F1" s="1014"/>
      <c r="G1" s="1014"/>
      <c r="H1" s="1014"/>
      <c r="I1" s="1014"/>
      <c r="J1" s="1014"/>
      <c r="M1" s="226"/>
    </row>
    <row r="2" spans="1:18" ht="24.75" customHeight="1" thickBot="1" x14ac:dyDescent="0.25">
      <c r="A2" s="1020" t="s">
        <v>148</v>
      </c>
      <c r="B2" s="1021"/>
      <c r="C2" s="1021"/>
      <c r="D2" s="434"/>
      <c r="E2" s="435" t="s">
        <v>687</v>
      </c>
      <c r="F2" s="1019" t="s">
        <v>226</v>
      </c>
      <c r="G2" s="1019"/>
      <c r="H2" s="436" t="s">
        <v>125</v>
      </c>
      <c r="I2" s="450" t="s">
        <v>150</v>
      </c>
      <c r="J2" s="437" t="s">
        <v>126</v>
      </c>
      <c r="M2" s="428"/>
    </row>
    <row r="3" spans="1:18" x14ac:dyDescent="0.2">
      <c r="A3" s="807" t="s">
        <v>749</v>
      </c>
      <c r="B3" s="429"/>
      <c r="C3" s="430"/>
      <c r="D3" s="431"/>
      <c r="E3" s="432"/>
      <c r="F3" s="433"/>
      <c r="G3" s="433"/>
      <c r="H3" s="438"/>
      <c r="I3" s="625" t="s">
        <v>47</v>
      </c>
      <c r="J3" s="439"/>
      <c r="M3" s="226"/>
    </row>
    <row r="4" spans="1:18" x14ac:dyDescent="0.2">
      <c r="A4" s="395"/>
      <c r="B4" s="569" t="s">
        <v>761</v>
      </c>
      <c r="C4" s="397"/>
      <c r="D4" s="398"/>
      <c r="E4" s="415" t="s">
        <v>688</v>
      </c>
      <c r="F4" s="414"/>
      <c r="G4" s="400"/>
      <c r="H4" s="402"/>
      <c r="I4" s="409">
        <f>'Sched-E'!C3</f>
        <v>13244679.129999999</v>
      </c>
      <c r="J4" s="401"/>
      <c r="K4" s="228" t="s">
        <v>933</v>
      </c>
      <c r="M4" s="226"/>
      <c r="N4" s="226"/>
      <c r="O4" s="226"/>
      <c r="Q4" s="226"/>
      <c r="R4" s="226"/>
    </row>
    <row r="5" spans="1:18" x14ac:dyDescent="0.2">
      <c r="A5" s="807" t="s">
        <v>750</v>
      </c>
      <c r="B5" s="396"/>
      <c r="C5" s="397"/>
      <c r="D5" s="398"/>
      <c r="E5" s="400"/>
      <c r="F5" s="400"/>
      <c r="G5" s="400"/>
      <c r="H5" s="402"/>
      <c r="I5" s="810" t="s">
        <v>146</v>
      </c>
      <c r="J5" s="401"/>
      <c r="K5" s="228" t="s">
        <v>897</v>
      </c>
      <c r="M5" s="226"/>
      <c r="N5" s="226"/>
      <c r="O5" s="226"/>
      <c r="Q5" s="226"/>
      <c r="R5" s="226"/>
    </row>
    <row r="6" spans="1:18" x14ac:dyDescent="0.2">
      <c r="A6" s="395"/>
      <c r="B6" s="396"/>
      <c r="C6" s="397"/>
      <c r="D6" s="398"/>
      <c r="E6" s="400"/>
      <c r="F6" s="400"/>
      <c r="G6" s="400"/>
      <c r="H6" s="403">
        <f>G7/$G$37</f>
        <v>0.85227836343534213</v>
      </c>
      <c r="I6" s="404">
        <f>SUM($I$4*H6)</f>
        <v>11288153.45314263</v>
      </c>
      <c r="J6" s="401"/>
      <c r="K6" s="405"/>
      <c r="M6" s="226"/>
      <c r="N6" s="226"/>
      <c r="O6" s="226"/>
      <c r="Q6" s="226"/>
      <c r="R6" s="226"/>
    </row>
    <row r="7" spans="1:18" x14ac:dyDescent="0.2">
      <c r="A7" s="406"/>
      <c r="B7" s="407" t="s">
        <v>94</v>
      </c>
      <c r="C7" s="338"/>
      <c r="D7" s="263"/>
      <c r="E7" s="379"/>
      <c r="F7" s="262"/>
      <c r="G7" s="408">
        <f>SUM(F4:F30)</f>
        <v>253569764.18091562</v>
      </c>
      <c r="H7" s="262"/>
      <c r="I7" s="262"/>
      <c r="J7" s="409">
        <f>SUM(I6+G7)</f>
        <v>264857917.63405827</v>
      </c>
      <c r="K7" s="405"/>
      <c r="M7" s="226"/>
      <c r="N7" s="226"/>
      <c r="O7" s="226"/>
      <c r="Q7" s="226"/>
      <c r="R7" s="226"/>
    </row>
    <row r="8" spans="1:18" x14ac:dyDescent="0.2">
      <c r="A8" s="406"/>
      <c r="B8" s="407"/>
      <c r="C8" s="569" t="s">
        <v>751</v>
      </c>
      <c r="D8" s="410"/>
      <c r="E8" s="399"/>
      <c r="F8" s="411">
        <f>'Sched-B1'!E17+'Sched-D1'!F660+CostReim!D18+CostReim!D23+CostReim!D28+CostReim!D21</f>
        <v>180754172.40000001</v>
      </c>
      <c r="G8" s="408"/>
      <c r="H8" s="412"/>
      <c r="I8" s="413"/>
      <c r="J8" s="409"/>
      <c r="K8" s="797" t="s">
        <v>711</v>
      </c>
      <c r="M8" s="226"/>
      <c r="N8" s="226"/>
      <c r="O8" s="226"/>
      <c r="Q8" s="226"/>
      <c r="R8" s="226"/>
    </row>
    <row r="9" spans="1:18" x14ac:dyDescent="0.2">
      <c r="A9" s="406"/>
      <c r="B9" s="407"/>
      <c r="C9" s="1015" t="s">
        <v>766</v>
      </c>
      <c r="D9" s="1016"/>
      <c r="E9" s="379" t="s">
        <v>708</v>
      </c>
      <c r="F9" s="414">
        <f>'Sched-D1'!D300</f>
        <v>-302805.5</v>
      </c>
      <c r="G9" s="408"/>
      <c r="H9" s="412"/>
      <c r="I9" s="412"/>
      <c r="J9" s="409"/>
      <c r="K9" s="547"/>
      <c r="L9" s="547"/>
      <c r="M9" s="226"/>
      <c r="N9" s="226"/>
      <c r="O9" s="226"/>
      <c r="Q9" s="226"/>
      <c r="R9" s="226"/>
    </row>
    <row r="10" spans="1:18" x14ac:dyDescent="0.2">
      <c r="A10" s="406"/>
      <c r="B10" s="407"/>
      <c r="C10" s="1015" t="s">
        <v>898</v>
      </c>
      <c r="D10" s="1016"/>
      <c r="E10" s="379" t="s">
        <v>710</v>
      </c>
      <c r="F10" s="414">
        <v>0</v>
      </c>
      <c r="G10" s="408"/>
      <c r="H10" s="412"/>
      <c r="I10" s="404"/>
      <c r="J10" s="409"/>
      <c r="K10" s="547"/>
      <c r="L10" s="547"/>
      <c r="M10" s="226"/>
      <c r="N10" s="226"/>
      <c r="O10" s="226"/>
      <c r="Q10" s="226"/>
      <c r="R10" s="226"/>
    </row>
    <row r="11" spans="1:18" x14ac:dyDescent="0.2">
      <c r="A11" s="406"/>
      <c r="B11" s="407"/>
      <c r="C11" s="1015" t="s">
        <v>811</v>
      </c>
      <c r="D11" s="1016"/>
      <c r="E11" s="379" t="s">
        <v>812</v>
      </c>
      <c r="F11" s="414">
        <f>'Sched-D1'!D193</f>
        <v>-7986</v>
      </c>
      <c r="G11" s="408"/>
      <c r="H11" s="412"/>
      <c r="I11" s="404"/>
      <c r="J11" s="409"/>
      <c r="K11" s="796"/>
      <c r="L11" s="547"/>
      <c r="M11" s="226"/>
      <c r="N11" s="226"/>
      <c r="O11" s="226"/>
      <c r="Q11" s="226"/>
      <c r="R11" s="226"/>
    </row>
    <row r="12" spans="1:18" x14ac:dyDescent="0.2">
      <c r="A12" s="406"/>
      <c r="B12" s="407"/>
      <c r="C12" s="1015" t="s">
        <v>807</v>
      </c>
      <c r="D12" s="1016"/>
      <c r="E12" s="379" t="s">
        <v>808</v>
      </c>
      <c r="F12" s="414">
        <f>'Sched-D1'!D47+'Sched-D1'!D558+'Sched-D1'!D299</f>
        <v>-152706</v>
      </c>
      <c r="G12" s="408"/>
      <c r="H12" s="412"/>
      <c r="I12" s="404"/>
      <c r="J12" s="409"/>
      <c r="K12" s="547"/>
      <c r="L12" s="547"/>
      <c r="M12" s="226"/>
      <c r="N12" s="226"/>
      <c r="O12" s="226"/>
      <c r="Q12" s="226"/>
      <c r="R12" s="226"/>
    </row>
    <row r="13" spans="1:18" x14ac:dyDescent="0.2">
      <c r="A13" s="406"/>
      <c r="B13" s="338"/>
      <c r="C13" s="569" t="s">
        <v>752</v>
      </c>
      <c r="D13" s="410"/>
      <c r="E13" s="415" t="s">
        <v>712</v>
      </c>
      <c r="F13" s="411">
        <f>'Sched-D2'!F28</f>
        <v>560879.31999999995</v>
      </c>
      <c r="G13" s="408"/>
      <c r="H13" s="412"/>
      <c r="I13" s="413"/>
      <c r="J13" s="409"/>
      <c r="K13" s="547"/>
      <c r="L13" s="547"/>
      <c r="M13" s="226"/>
      <c r="N13" s="226"/>
      <c r="O13" s="226"/>
      <c r="Q13" s="226"/>
      <c r="R13" s="226"/>
    </row>
    <row r="14" spans="1:18" x14ac:dyDescent="0.2">
      <c r="A14" s="406"/>
      <c r="B14" s="338"/>
      <c r="C14" s="569" t="s">
        <v>806</v>
      </c>
      <c r="D14" s="410"/>
      <c r="E14" s="415" t="s">
        <v>805</v>
      </c>
      <c r="F14" s="411">
        <f>'Sched-D2'!F112</f>
        <v>0</v>
      </c>
      <c r="G14" s="408"/>
      <c r="H14" s="412"/>
      <c r="I14" s="413"/>
      <c r="J14" s="409"/>
      <c r="K14" s="547"/>
      <c r="L14" s="547"/>
      <c r="M14" s="226"/>
      <c r="N14" s="226"/>
      <c r="O14" s="226"/>
      <c r="Q14" s="226"/>
      <c r="R14" s="226"/>
    </row>
    <row r="15" spans="1:18" x14ac:dyDescent="0.2">
      <c r="A15" s="406"/>
      <c r="B15" s="569" t="s">
        <v>754</v>
      </c>
      <c r="D15" s="410"/>
      <c r="E15" s="795" t="s">
        <v>696</v>
      </c>
      <c r="F15" s="411">
        <f>'Sched-D2'!F45+'Sched-D2'!H44</f>
        <v>57925921.030000009</v>
      </c>
      <c r="G15" s="408"/>
      <c r="H15" s="412"/>
      <c r="I15" s="413"/>
      <c r="J15" s="409"/>
      <c r="L15" s="547"/>
      <c r="M15" s="226"/>
      <c r="N15" s="226"/>
      <c r="O15" s="226"/>
      <c r="Q15" s="226"/>
      <c r="R15" s="226"/>
    </row>
    <row r="16" spans="1:18" x14ac:dyDescent="0.2">
      <c r="A16" s="406"/>
      <c r="B16" s="407"/>
      <c r="C16" s="1015" t="s">
        <v>675</v>
      </c>
      <c r="D16" s="1016"/>
      <c r="E16" s="379" t="s">
        <v>700</v>
      </c>
      <c r="F16" s="414">
        <f>'Sched-D2'!E41</f>
        <v>-64559</v>
      </c>
      <c r="G16" s="408"/>
      <c r="H16" s="412"/>
      <c r="I16" s="413"/>
      <c r="J16" s="409"/>
      <c r="L16" s="547"/>
      <c r="M16" s="226"/>
      <c r="N16" s="226"/>
      <c r="O16" s="226"/>
      <c r="Q16" s="226"/>
      <c r="R16" s="226"/>
    </row>
    <row r="17" spans="1:18" x14ac:dyDescent="0.2">
      <c r="A17" s="406"/>
      <c r="B17" s="407"/>
      <c r="C17" s="1015" t="s">
        <v>676</v>
      </c>
      <c r="D17" s="1016"/>
      <c r="E17" s="379" t="s">
        <v>699</v>
      </c>
      <c r="F17" s="414">
        <f>'Sched-D2'!E42</f>
        <v>-52400</v>
      </c>
      <c r="G17" s="408"/>
      <c r="H17" s="412"/>
      <c r="I17" s="413"/>
      <c r="J17" s="409"/>
      <c r="L17" s="547"/>
      <c r="M17" s="226"/>
      <c r="N17" s="226"/>
      <c r="O17" s="226"/>
      <c r="Q17" s="226"/>
      <c r="R17" s="226"/>
    </row>
    <row r="18" spans="1:18" x14ac:dyDescent="0.2">
      <c r="A18" s="406"/>
      <c r="B18" s="407"/>
      <c r="C18" s="1015" t="s">
        <v>767</v>
      </c>
      <c r="D18" s="1016"/>
      <c r="E18" s="379" t="s">
        <v>700</v>
      </c>
      <c r="F18" s="414">
        <f>'Sched-D2'!E43</f>
        <v>-116576.98999999999</v>
      </c>
      <c r="G18" s="408"/>
      <c r="H18" s="412"/>
      <c r="I18" s="413"/>
      <c r="J18" s="409"/>
      <c r="L18" s="547"/>
      <c r="M18" s="226"/>
      <c r="N18" s="226"/>
      <c r="O18" s="226"/>
      <c r="Q18" s="226"/>
      <c r="R18" s="226"/>
    </row>
    <row r="19" spans="1:18" x14ac:dyDescent="0.2">
      <c r="A19" s="406"/>
      <c r="B19" s="569" t="s">
        <v>753</v>
      </c>
      <c r="D19" s="410"/>
      <c r="E19" s="795" t="s">
        <v>730</v>
      </c>
      <c r="F19" s="411">
        <f>'Sched-D2'!F62+'Sched-D2'!H61-'Sched-D2'!E58</f>
        <v>1497481.33</v>
      </c>
      <c r="G19" s="408"/>
      <c r="H19" s="412"/>
      <c r="I19" s="413"/>
      <c r="J19" s="409"/>
      <c r="K19" s="228" t="s">
        <v>741</v>
      </c>
      <c r="L19" s="547"/>
      <c r="M19" s="226"/>
      <c r="N19" s="226"/>
      <c r="O19" s="226"/>
      <c r="Q19" s="226"/>
      <c r="R19" s="226"/>
    </row>
    <row r="20" spans="1:18" x14ac:dyDescent="0.2">
      <c r="A20" s="406"/>
      <c r="B20" s="407"/>
      <c r="C20" s="1015" t="s">
        <v>768</v>
      </c>
      <c r="D20" s="1016"/>
      <c r="E20" s="379" t="s">
        <v>703</v>
      </c>
      <c r="F20" s="414">
        <f>'Sched-D2'!E59+'Sched-D2'!E60+'Sched-D2'!E61</f>
        <v>-103619</v>
      </c>
      <c r="G20" s="408"/>
      <c r="H20" s="412"/>
      <c r="I20" s="413"/>
      <c r="J20" s="409"/>
      <c r="L20" s="547"/>
      <c r="M20" s="226"/>
      <c r="N20" s="226"/>
      <c r="O20" s="226"/>
      <c r="Q20" s="226"/>
      <c r="R20" s="226"/>
    </row>
    <row r="21" spans="1:18" x14ac:dyDescent="0.2">
      <c r="A21" s="406"/>
      <c r="B21" s="407"/>
      <c r="C21" s="1015" t="s">
        <v>950</v>
      </c>
      <c r="D21" s="1016"/>
      <c r="E21" s="379" t="s">
        <v>746</v>
      </c>
      <c r="F21" s="414">
        <f>'Sched-D2'!E58</f>
        <v>-51855.23</v>
      </c>
      <c r="G21" s="408"/>
      <c r="H21" s="412"/>
      <c r="I21" s="413"/>
      <c r="J21" s="409"/>
      <c r="K21" s="228" t="s">
        <v>945</v>
      </c>
      <c r="L21" s="547"/>
      <c r="M21" s="226"/>
      <c r="N21" s="226"/>
      <c r="O21" s="226"/>
      <c r="Q21" s="226"/>
      <c r="R21" s="226"/>
    </row>
    <row r="22" spans="1:18" x14ac:dyDescent="0.2">
      <c r="A22" s="406"/>
      <c r="B22" s="396" t="s">
        <v>52</v>
      </c>
      <c r="D22" s="410"/>
      <c r="E22" s="379" t="s">
        <v>713</v>
      </c>
      <c r="F22" s="411">
        <f>'Sched-D2'!F72</f>
        <v>1712954.4400000002</v>
      </c>
      <c r="G22" s="408"/>
      <c r="H22" s="412"/>
      <c r="I22" s="413"/>
      <c r="J22" s="409"/>
      <c r="L22" s="547"/>
      <c r="M22" s="226"/>
      <c r="N22" s="226"/>
      <c r="O22" s="226"/>
      <c r="P22" s="226"/>
      <c r="Q22" s="226"/>
      <c r="R22" s="226"/>
    </row>
    <row r="23" spans="1:18" x14ac:dyDescent="0.2">
      <c r="A23" s="406"/>
      <c r="B23" s="407"/>
      <c r="C23" s="1015" t="s">
        <v>769</v>
      </c>
      <c r="D23" s="1016"/>
      <c r="E23" s="379" t="s">
        <v>713</v>
      </c>
      <c r="F23" s="414">
        <v>0</v>
      </c>
      <c r="G23" s="408"/>
      <c r="H23" s="412"/>
      <c r="I23" s="413"/>
      <c r="J23" s="409"/>
      <c r="K23" s="228" t="s">
        <v>895</v>
      </c>
      <c r="L23" s="547"/>
      <c r="M23" s="226"/>
      <c r="N23" s="226"/>
      <c r="O23" s="226"/>
      <c r="Q23" s="226"/>
      <c r="R23" s="226"/>
    </row>
    <row r="24" spans="1:18" x14ac:dyDescent="0.2">
      <c r="A24" s="406"/>
      <c r="B24" s="410" t="s">
        <v>441</v>
      </c>
      <c r="C24" s="545"/>
      <c r="E24" s="379" t="s">
        <v>714</v>
      </c>
      <c r="F24" s="414">
        <f>'Sched-D2'!F17</f>
        <v>0</v>
      </c>
      <c r="G24" s="408"/>
      <c r="H24" s="408"/>
      <c r="I24" s="408"/>
      <c r="J24" s="416"/>
      <c r="L24" s="547"/>
      <c r="Q24" s="226"/>
      <c r="R24" s="226"/>
    </row>
    <row r="25" spans="1:18" x14ac:dyDescent="0.2">
      <c r="A25" s="406"/>
      <c r="B25" s="569" t="s">
        <v>313</v>
      </c>
      <c r="C25" s="338"/>
      <c r="D25" s="410"/>
      <c r="E25" s="379" t="s">
        <v>715</v>
      </c>
      <c r="F25" s="411">
        <f>'Sched-D2'!F82</f>
        <v>1083646.72</v>
      </c>
      <c r="G25" s="408"/>
      <c r="H25" s="412"/>
      <c r="I25" s="413"/>
      <c r="J25" s="409"/>
      <c r="L25" s="547"/>
      <c r="M25" s="226"/>
      <c r="N25" s="226"/>
    </row>
    <row r="26" spans="1:18" x14ac:dyDescent="0.2">
      <c r="A26" s="406"/>
      <c r="B26" s="569" t="s">
        <v>763</v>
      </c>
      <c r="D26" s="410"/>
      <c r="E26" s="379" t="s">
        <v>705</v>
      </c>
      <c r="F26" s="411">
        <f>'Sched-D2'!F94+'Sched-D2'!H93</f>
        <v>2629990.7100000004</v>
      </c>
      <c r="G26" s="408"/>
      <c r="H26" s="412"/>
      <c r="I26" s="413"/>
      <c r="J26" s="409"/>
      <c r="K26" s="797" t="s">
        <v>716</v>
      </c>
      <c r="L26" s="547"/>
      <c r="M26" s="226"/>
      <c r="N26" s="226"/>
    </row>
    <row r="27" spans="1:18" x14ac:dyDescent="0.2">
      <c r="A27" s="406"/>
      <c r="B27" s="338"/>
      <c r="C27" s="804" t="s">
        <v>770</v>
      </c>
      <c r="D27" s="410"/>
      <c r="E27" s="379"/>
      <c r="F27" s="414">
        <f>'Sched-D2'!E94</f>
        <v>-140000</v>
      </c>
      <c r="G27" s="408"/>
      <c r="H27" s="412"/>
      <c r="I27" s="413"/>
      <c r="J27" s="409"/>
      <c r="L27" s="547"/>
    </row>
    <row r="28" spans="1:18" x14ac:dyDescent="0.2">
      <c r="A28" s="406"/>
      <c r="B28" s="396" t="s">
        <v>314</v>
      </c>
      <c r="C28" s="396"/>
      <c r="D28" s="410"/>
      <c r="E28" s="379" t="s">
        <v>717</v>
      </c>
      <c r="F28" s="414">
        <f>'Sched-D2'!F100</f>
        <v>482344.02</v>
      </c>
      <c r="G28" s="408"/>
      <c r="H28" s="412"/>
      <c r="I28" s="413"/>
      <c r="J28" s="409"/>
      <c r="L28" s="547"/>
    </row>
    <row r="29" spans="1:18" x14ac:dyDescent="0.2">
      <c r="A29" s="406"/>
      <c r="B29" s="569" t="s">
        <v>762</v>
      </c>
      <c r="C29" s="338"/>
      <c r="D29" s="410"/>
      <c r="E29" s="379" t="s">
        <v>718</v>
      </c>
      <c r="F29" s="414">
        <f>'Sched-D2'!F124</f>
        <v>501300</v>
      </c>
      <c r="G29" s="408"/>
      <c r="H29" s="412"/>
      <c r="I29" s="413"/>
      <c r="J29" s="409"/>
      <c r="K29" s="547"/>
      <c r="L29" s="547"/>
    </row>
    <row r="30" spans="1:18" x14ac:dyDescent="0.2">
      <c r="A30" s="406"/>
      <c r="B30" s="569" t="s">
        <v>747</v>
      </c>
      <c r="C30" s="338"/>
      <c r="D30" s="410"/>
      <c r="E30" s="399"/>
      <c r="F30" s="411">
        <f>'Sched-F-G'!D40</f>
        <v>7413581.9309155997</v>
      </c>
      <c r="G30" s="408"/>
      <c r="H30" s="412"/>
      <c r="I30" s="413"/>
      <c r="J30" s="409"/>
      <c r="K30" s="547"/>
    </row>
    <row r="31" spans="1:18" x14ac:dyDescent="0.2">
      <c r="A31" s="406"/>
      <c r="B31" s="569" t="s">
        <v>755</v>
      </c>
      <c r="C31" s="811"/>
      <c r="D31" s="263"/>
      <c r="E31" s="379" t="s">
        <v>720</v>
      </c>
      <c r="F31" s="408"/>
      <c r="G31" s="408">
        <v>6962125</v>
      </c>
      <c r="H31" s="403">
        <f>G31/$G$37</f>
        <v>2.3400536417262897E-2</v>
      </c>
      <c r="I31" s="413">
        <f>$I$4*H31</f>
        <v>309932.59631652682</v>
      </c>
      <c r="J31" s="409">
        <f>SUM(I31+G31)</f>
        <v>7272057.5963165266</v>
      </c>
    </row>
    <row r="32" spans="1:18" x14ac:dyDescent="0.2">
      <c r="A32" s="406"/>
      <c r="B32" s="569" t="s">
        <v>756</v>
      </c>
      <c r="C32" s="338"/>
      <c r="D32" s="263"/>
      <c r="E32" s="379" t="s">
        <v>721</v>
      </c>
      <c r="F32" s="417"/>
      <c r="G32" s="408">
        <f>1023011.44-119512.32</f>
        <v>903499.11999999988</v>
      </c>
      <c r="H32" s="403">
        <f t="shared" ref="H32:H36" si="0">G32/$G$37</f>
        <v>3.0367688113219714E-3</v>
      </c>
      <c r="I32" s="413">
        <f t="shared" ref="I32:I36" si="1">$I$4*H32</f>
        <v>40221.028497951018</v>
      </c>
      <c r="J32" s="409">
        <f t="shared" ref="J32:J36" si="2">SUM(I32+G32)</f>
        <v>943720.14849795087</v>
      </c>
      <c r="K32" s="547" t="s">
        <v>934</v>
      </c>
    </row>
    <row r="33" spans="1:12" x14ac:dyDescent="0.2">
      <c r="A33" s="406"/>
      <c r="B33" s="569" t="s">
        <v>757</v>
      </c>
      <c r="C33" s="811"/>
      <c r="D33" s="263"/>
      <c r="E33" s="379" t="s">
        <v>722</v>
      </c>
      <c r="F33" s="417"/>
      <c r="G33" s="408">
        <v>15850820.98</v>
      </c>
      <c r="H33" s="403">
        <f t="shared" si="0"/>
        <v>5.3276508765068828E-2</v>
      </c>
      <c r="I33" s="413">
        <f t="shared" si="1"/>
        <v>705630.26375996915</v>
      </c>
      <c r="J33" s="409">
        <f t="shared" si="2"/>
        <v>16556451.243759969</v>
      </c>
      <c r="K33" s="796" t="s">
        <v>895</v>
      </c>
      <c r="L33" s="228" t="s">
        <v>719</v>
      </c>
    </row>
    <row r="34" spans="1:12" x14ac:dyDescent="0.2">
      <c r="A34" s="406"/>
      <c r="B34" s="569" t="s">
        <v>758</v>
      </c>
      <c r="C34" s="338"/>
      <c r="D34" s="263"/>
      <c r="E34" s="379" t="s">
        <v>723</v>
      </c>
      <c r="F34" s="408"/>
      <c r="G34" s="408">
        <v>298856.84000000003</v>
      </c>
      <c r="H34" s="403">
        <f t="shared" si="0"/>
        <v>1.0044936521490368E-3</v>
      </c>
      <c r="I34" s="413">
        <f t="shared" si="1"/>
        <v>13304.196110835826</v>
      </c>
      <c r="J34" s="409">
        <f t="shared" si="2"/>
        <v>312161.03611083585</v>
      </c>
    </row>
    <row r="35" spans="1:12" x14ac:dyDescent="0.2">
      <c r="A35" s="406"/>
      <c r="B35" s="569" t="s">
        <v>134</v>
      </c>
      <c r="C35" s="338"/>
      <c r="D35" s="263"/>
      <c r="E35" s="379" t="s">
        <v>724</v>
      </c>
      <c r="F35" s="408"/>
      <c r="G35" s="408">
        <v>2538350.63</v>
      </c>
      <c r="H35" s="403">
        <f t="shared" si="0"/>
        <v>8.5317006455783578E-3</v>
      </c>
      <c r="I35" s="413">
        <f t="shared" si="1"/>
        <v>112999.63748389919</v>
      </c>
      <c r="J35" s="409">
        <f>SUM(I35+G35)</f>
        <v>2651350.2674838989</v>
      </c>
      <c r="K35" s="796" t="s">
        <v>895</v>
      </c>
      <c r="L35" s="228" t="s">
        <v>742</v>
      </c>
    </row>
    <row r="36" spans="1:12" ht="13.5" thickBot="1" x14ac:dyDescent="0.25">
      <c r="A36" s="406"/>
      <c r="B36" s="569" t="s">
        <v>265</v>
      </c>
      <c r="D36" s="263"/>
      <c r="E36" s="379" t="s">
        <v>725</v>
      </c>
      <c r="F36" s="408"/>
      <c r="G36" s="408">
        <v>17396472.359999999</v>
      </c>
      <c r="H36" s="403">
        <f t="shared" si="0"/>
        <v>5.8471628273276829E-2</v>
      </c>
      <c r="I36" s="413">
        <f t="shared" si="1"/>
        <v>774437.95468818746</v>
      </c>
      <c r="J36" s="409">
        <f t="shared" si="2"/>
        <v>18170910.314688187</v>
      </c>
    </row>
    <row r="37" spans="1:12" s="228" customFormat="1" ht="16.5" customHeight="1" thickBot="1" x14ac:dyDescent="0.25">
      <c r="A37" s="1017" t="s">
        <v>759</v>
      </c>
      <c r="B37" s="1018"/>
      <c r="C37" s="1018"/>
      <c r="D37" s="444"/>
      <c r="E37" s="445"/>
      <c r="F37" s="446"/>
      <c r="G37" s="446">
        <f>SUM(G3:G36)</f>
        <v>297519889.1109156</v>
      </c>
      <c r="H37" s="447">
        <f>SUM(H3:H36)</f>
        <v>1.0000000000000002</v>
      </c>
      <c r="I37" s="448">
        <f>SUM(I6:I36)</f>
        <v>13244679.129999999</v>
      </c>
      <c r="J37" s="618">
        <f>SUM(J7:J36)</f>
        <v>310764568.24091566</v>
      </c>
      <c r="K37" s="449"/>
      <c r="L37" s="548"/>
    </row>
    <row r="38" spans="1:12" ht="16.5" thickTop="1" x14ac:dyDescent="0.25">
      <c r="A38" s="406"/>
      <c r="B38" s="338"/>
      <c r="C38" s="235" t="s">
        <v>764</v>
      </c>
      <c r="D38" s="410"/>
      <c r="E38" s="399"/>
      <c r="F38" s="264"/>
      <c r="G38" s="379"/>
      <c r="H38" s="403"/>
      <c r="I38" s="264"/>
      <c r="J38" s="416"/>
    </row>
    <row r="39" spans="1:12" x14ac:dyDescent="0.2">
      <c r="A39" s="406"/>
      <c r="B39" s="338"/>
      <c r="C39" s="569" t="s">
        <v>765</v>
      </c>
      <c r="D39" s="410"/>
      <c r="E39" s="418"/>
      <c r="F39" s="419">
        <v>313620867.11000001</v>
      </c>
      <c r="G39" s="408"/>
      <c r="H39" s="408"/>
      <c r="I39" s="264"/>
      <c r="J39" s="416"/>
      <c r="K39" s="549"/>
    </row>
    <row r="40" spans="1:12" x14ac:dyDescent="0.2">
      <c r="A40" s="406"/>
      <c r="B40" s="338"/>
      <c r="C40" s="569" t="s">
        <v>743</v>
      </c>
      <c r="D40" s="410"/>
      <c r="E40" s="379"/>
      <c r="F40" s="408">
        <f>F30</f>
        <v>7413581.9309155997</v>
      </c>
      <c r="G40" s="408"/>
      <c r="H40" s="408"/>
      <c r="I40" s="264"/>
      <c r="J40" s="416"/>
    </row>
    <row r="41" spans="1:12" x14ac:dyDescent="0.2">
      <c r="A41" s="406"/>
      <c r="B41" s="338"/>
      <c r="C41" s="338"/>
      <c r="D41" s="263" t="s">
        <v>760</v>
      </c>
      <c r="E41" s="379" t="s">
        <v>726</v>
      </c>
      <c r="F41" s="414">
        <v>0</v>
      </c>
      <c r="G41" s="408"/>
      <c r="H41" s="408"/>
      <c r="I41" s="408"/>
      <c r="J41" s="416"/>
      <c r="K41" s="228" t="s">
        <v>896</v>
      </c>
    </row>
    <row r="42" spans="1:12" x14ac:dyDescent="0.2">
      <c r="A42" s="406"/>
      <c r="B42" s="338"/>
      <c r="C42" s="569" t="s">
        <v>149</v>
      </c>
      <c r="D42" s="805" t="s">
        <v>550</v>
      </c>
      <c r="E42" s="379" t="s">
        <v>705</v>
      </c>
      <c r="F42" s="414">
        <f>F27</f>
        <v>-140000</v>
      </c>
      <c r="G42" s="408"/>
      <c r="H42" s="408"/>
      <c r="I42" s="408"/>
      <c r="J42" s="416"/>
    </row>
    <row r="43" spans="1:12" x14ac:dyDescent="0.2">
      <c r="A43" s="406"/>
      <c r="B43" s="338"/>
      <c r="C43" s="396"/>
      <c r="D43" s="805" t="s">
        <v>810</v>
      </c>
      <c r="E43" s="379" t="str">
        <f>E12</f>
        <v>JAMC /JLCC/ JYKC</v>
      </c>
      <c r="F43" s="414">
        <f>F12</f>
        <v>-152706</v>
      </c>
      <c r="G43" s="408"/>
      <c r="H43" s="408"/>
      <c r="I43" s="408"/>
      <c r="J43" s="416"/>
    </row>
    <row r="44" spans="1:12" x14ac:dyDescent="0.2">
      <c r="A44" s="406"/>
      <c r="B44" s="338"/>
      <c r="C44" s="396"/>
      <c r="D44" s="805" t="s">
        <v>744</v>
      </c>
      <c r="E44" s="379" t="s">
        <v>708</v>
      </c>
      <c r="F44" s="414">
        <f>F9</f>
        <v>-302805.5</v>
      </c>
      <c r="G44" s="408"/>
      <c r="H44" s="408"/>
      <c r="I44" s="408"/>
      <c r="J44" s="416"/>
    </row>
    <row r="45" spans="1:12" x14ac:dyDescent="0.2">
      <c r="A45" s="406"/>
      <c r="B45" s="338"/>
      <c r="C45" s="396"/>
      <c r="D45" s="805" t="s">
        <v>803</v>
      </c>
      <c r="E45" s="379" t="s">
        <v>710</v>
      </c>
      <c r="F45" s="414">
        <f>F10</f>
        <v>0</v>
      </c>
      <c r="G45" s="408"/>
      <c r="H45" s="408"/>
      <c r="I45" s="408"/>
      <c r="J45" s="416"/>
      <c r="L45" s="547"/>
    </row>
    <row r="46" spans="1:12" x14ac:dyDescent="0.2">
      <c r="A46" s="406"/>
      <c r="B46" s="338"/>
      <c r="C46" s="396"/>
      <c r="D46" s="805" t="s">
        <v>813</v>
      </c>
      <c r="E46" s="379" t="s">
        <v>812</v>
      </c>
      <c r="F46" s="414">
        <f>F11</f>
        <v>-7986</v>
      </c>
      <c r="G46" s="408"/>
      <c r="H46" s="408"/>
      <c r="I46" s="408"/>
      <c r="J46" s="416"/>
    </row>
    <row r="47" spans="1:12" x14ac:dyDescent="0.2">
      <c r="A47" s="406"/>
      <c r="B47" s="338"/>
      <c r="C47" s="338"/>
      <c r="D47" s="805" t="s">
        <v>932</v>
      </c>
      <c r="E47" s="379" t="s">
        <v>688</v>
      </c>
      <c r="F47" s="414">
        <v>-97432</v>
      </c>
      <c r="G47" s="408"/>
      <c r="H47" s="408"/>
      <c r="I47" s="408"/>
      <c r="J47" s="416"/>
      <c r="K47" s="547"/>
    </row>
    <row r="48" spans="1:12" x14ac:dyDescent="0.2">
      <c r="A48" s="406"/>
      <c r="B48" s="338"/>
      <c r="C48" s="338"/>
      <c r="D48" s="805" t="s">
        <v>935</v>
      </c>
      <c r="E48" s="379" t="s">
        <v>721</v>
      </c>
      <c r="F48" s="414">
        <v>-119512.32000000001</v>
      </c>
      <c r="G48" s="408"/>
      <c r="H48" s="408"/>
      <c r="I48" s="408"/>
      <c r="J48" s="416"/>
      <c r="K48" s="547"/>
    </row>
    <row r="49" spans="1:12" x14ac:dyDescent="0.2">
      <c r="A49" s="406"/>
      <c r="B49" s="338"/>
      <c r="C49" s="338"/>
      <c r="D49" s="805" t="s">
        <v>745</v>
      </c>
      <c r="E49" s="379" t="s">
        <v>746</v>
      </c>
      <c r="F49" s="414">
        <v>-51855.23</v>
      </c>
      <c r="G49" s="408"/>
      <c r="H49" s="408"/>
      <c r="I49" s="408"/>
      <c r="J49" s="416"/>
      <c r="K49" s="547"/>
      <c r="L49" s="547"/>
    </row>
    <row r="50" spans="1:12" x14ac:dyDescent="0.2">
      <c r="A50" s="406"/>
      <c r="B50" s="338"/>
      <c r="C50" s="338"/>
      <c r="D50" s="805" t="s">
        <v>727</v>
      </c>
      <c r="E50" s="379" t="s">
        <v>700</v>
      </c>
      <c r="F50" s="414">
        <f>F16</f>
        <v>-64559</v>
      </c>
      <c r="G50" s="408"/>
      <c r="H50" s="408"/>
      <c r="I50" s="408"/>
      <c r="J50" s="416"/>
      <c r="L50" s="547"/>
    </row>
    <row r="51" spans="1:12" x14ac:dyDescent="0.2">
      <c r="A51" s="406"/>
      <c r="B51" s="338"/>
      <c r="C51" s="338"/>
      <c r="D51" s="805" t="s">
        <v>748</v>
      </c>
      <c r="E51" s="379" t="s">
        <v>699</v>
      </c>
      <c r="F51" s="414">
        <f>F17</f>
        <v>-52400</v>
      </c>
      <c r="G51" s="408"/>
      <c r="H51" s="408"/>
      <c r="I51" s="408"/>
      <c r="J51" s="416"/>
    </row>
    <row r="52" spans="1:12" x14ac:dyDescent="0.2">
      <c r="A52" s="406"/>
      <c r="B52" s="338"/>
      <c r="C52" s="338"/>
      <c r="D52" s="805" t="s">
        <v>728</v>
      </c>
      <c r="E52" s="379" t="s">
        <v>700</v>
      </c>
      <c r="F52" s="414">
        <f>F18</f>
        <v>-116576.98999999999</v>
      </c>
      <c r="G52" s="408"/>
      <c r="H52" s="408"/>
      <c r="I52" s="408"/>
      <c r="J52" s="416"/>
    </row>
    <row r="53" spans="1:12" x14ac:dyDescent="0.2">
      <c r="A53" s="406"/>
      <c r="B53" s="338"/>
      <c r="C53" s="338"/>
      <c r="D53" s="805" t="s">
        <v>729</v>
      </c>
      <c r="E53" s="379" t="s">
        <v>703</v>
      </c>
      <c r="F53" s="414">
        <f>F20</f>
        <v>-103619</v>
      </c>
      <c r="G53" s="408"/>
      <c r="H53" s="408"/>
      <c r="I53" s="408"/>
      <c r="J53" s="416"/>
      <c r="K53" s="547"/>
    </row>
    <row r="54" spans="1:12" x14ac:dyDescent="0.2">
      <c r="A54" s="956"/>
      <c r="B54" s="957"/>
      <c r="C54" s="957"/>
      <c r="D54" s="805" t="s">
        <v>961</v>
      </c>
      <c r="E54" s="958" t="s">
        <v>710</v>
      </c>
      <c r="F54" s="959">
        <f>-'Sched-D1'!H446</f>
        <v>-712326.67</v>
      </c>
      <c r="G54" s="960"/>
      <c r="H54" s="960"/>
      <c r="I54" s="960"/>
      <c r="J54" s="961"/>
      <c r="K54" s="547"/>
    </row>
    <row r="55" spans="1:12" x14ac:dyDescent="0.2">
      <c r="A55" s="956"/>
      <c r="B55" s="957"/>
      <c r="C55" s="957"/>
      <c r="D55" s="805" t="s">
        <v>955</v>
      </c>
      <c r="E55" s="958" t="s">
        <v>956</v>
      </c>
      <c r="F55" s="959">
        <f>-'Sched-D1'!H500</f>
        <v>-947611.21</v>
      </c>
      <c r="G55" s="960"/>
      <c r="H55" s="960"/>
      <c r="I55" s="960"/>
      <c r="J55" s="961"/>
      <c r="K55" s="547"/>
    </row>
    <row r="56" spans="1:12" x14ac:dyDescent="0.2">
      <c r="A56" s="956"/>
      <c r="B56" s="957"/>
      <c r="C56" s="957"/>
      <c r="D56" s="805" t="s">
        <v>953</v>
      </c>
      <c r="E56" s="958" t="s">
        <v>805</v>
      </c>
      <c r="F56" s="959">
        <f>'Sched-D2'!H112</f>
        <v>-7400490.8799999999</v>
      </c>
      <c r="G56" s="960"/>
      <c r="H56" s="960"/>
      <c r="I56" s="960"/>
      <c r="J56" s="961"/>
      <c r="K56" s="547"/>
    </row>
    <row r="57" spans="1:12" ht="15.75" customHeight="1" thickBot="1" x14ac:dyDescent="0.25">
      <c r="A57" s="806" t="s">
        <v>759</v>
      </c>
      <c r="B57" s="443"/>
      <c r="C57" s="440" t="s">
        <v>0</v>
      </c>
      <c r="D57" s="441"/>
      <c r="E57" s="442"/>
      <c r="F57" s="619">
        <f>SUM(F39:F56)</f>
        <v>310764568.2409156</v>
      </c>
      <c r="G57" s="420"/>
      <c r="H57" s="420"/>
      <c r="I57" s="420"/>
      <c r="J57" s="421"/>
      <c r="K57" s="547"/>
    </row>
    <row r="58" spans="1:12" ht="13.5" thickBot="1" x14ac:dyDescent="0.25">
      <c r="A58" s="215"/>
      <c r="B58" s="215"/>
      <c r="C58" s="422"/>
      <c r="E58" s="422"/>
      <c r="G58" s="423"/>
      <c r="H58" s="424"/>
      <c r="I58" s="424"/>
      <c r="J58" s="425"/>
      <c r="K58" s="547"/>
    </row>
    <row r="59" spans="1:12" x14ac:dyDescent="0.2">
      <c r="F59" s="808">
        <f>F57-J37</f>
        <v>0</v>
      </c>
      <c r="G59" s="809" t="s">
        <v>683</v>
      </c>
      <c r="K59" s="547"/>
    </row>
    <row r="60" spans="1:12" x14ac:dyDescent="0.2">
      <c r="A60" s="339" t="s">
        <v>936</v>
      </c>
      <c r="K60" s="547"/>
    </row>
    <row r="61" spans="1:12" x14ac:dyDescent="0.2">
      <c r="K61" s="547"/>
    </row>
    <row r="62" spans="1:12" x14ac:dyDescent="0.2">
      <c r="F62" s="336"/>
      <c r="K62" s="547"/>
    </row>
    <row r="63" spans="1:12" x14ac:dyDescent="0.2">
      <c r="F63" s="426"/>
      <c r="K63" s="547"/>
    </row>
    <row r="64" spans="1:12" x14ac:dyDescent="0.2">
      <c r="F64" s="426"/>
      <c r="K64" s="547"/>
    </row>
    <row r="65" spans="6:11" x14ac:dyDescent="0.2">
      <c r="F65" s="426"/>
      <c r="K65" s="547"/>
    </row>
    <row r="66" spans="6:11" x14ac:dyDescent="0.2">
      <c r="F66" s="426"/>
      <c r="G66" s="428"/>
      <c r="J66" s="547"/>
      <c r="K66" s="547"/>
    </row>
    <row r="67" spans="6:11" x14ac:dyDescent="0.2">
      <c r="F67" s="426"/>
    </row>
    <row r="68" spans="6:11" x14ac:dyDescent="0.2">
      <c r="F68" s="427"/>
    </row>
    <row r="69" spans="6:11" x14ac:dyDescent="0.2">
      <c r="F69" s="427"/>
    </row>
    <row r="70" spans="6:11" x14ac:dyDescent="0.2">
      <c r="F70" s="427"/>
    </row>
    <row r="71" spans="6:11" x14ac:dyDescent="0.2">
      <c r="F71" s="427"/>
    </row>
    <row r="72" spans="6:11" x14ac:dyDescent="0.2">
      <c r="F72" s="427"/>
    </row>
    <row r="73" spans="6:11" x14ac:dyDescent="0.2">
      <c r="F73" s="427"/>
    </row>
    <row r="74" spans="6:11" x14ac:dyDescent="0.2">
      <c r="F74" s="427"/>
    </row>
    <row r="75" spans="6:11" x14ac:dyDescent="0.2">
      <c r="F75" s="427"/>
    </row>
    <row r="76" spans="6:11" x14ac:dyDescent="0.2">
      <c r="F76" s="427"/>
    </row>
    <row r="77" spans="6:11" x14ac:dyDescent="0.2">
      <c r="F77" s="427"/>
      <c r="G77" s="428"/>
    </row>
  </sheetData>
  <mergeCells count="14">
    <mergeCell ref="A1:J1"/>
    <mergeCell ref="C20:D20"/>
    <mergeCell ref="A37:C37"/>
    <mergeCell ref="F2:G2"/>
    <mergeCell ref="A2:C2"/>
    <mergeCell ref="C12:D12"/>
    <mergeCell ref="C18:D18"/>
    <mergeCell ref="C16:D16"/>
    <mergeCell ref="C9:D9"/>
    <mergeCell ref="C11:D11"/>
    <mergeCell ref="C23:D23"/>
    <mergeCell ref="C17:D17"/>
    <mergeCell ref="C21:D21"/>
    <mergeCell ref="C10:D10"/>
  </mergeCells>
  <phoneticPr fontId="21" type="noConversion"/>
  <printOptions horizontalCentered="1"/>
  <pageMargins left="0" right="0" top="1.25" bottom="1" header="0.33" footer="0.5"/>
  <pageSetup orientation="landscape" r:id="rId1"/>
  <headerFooter alignWithMargins="0">
    <oddHeader>&amp;C&amp;"Arial,Bold"&amp;12DEPARTMENT OF CORRECTIONS
 COST OF CARE Year 2019
(Based on Fiscal Year 2018 Actuals)</oddHeader>
    <oddFooter>&amp;L&amp;8&amp;F &amp;A&amp;C&amp;8&amp;P of &amp;N&amp;R&amp;8&amp;D</oddFooter>
  </headerFooter>
  <rowBreaks count="1" manualBreakCount="1">
    <brk id="3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J57"/>
  <sheetViews>
    <sheetView showGridLines="0" workbookViewId="0">
      <selection activeCell="E2" sqref="E2"/>
    </sheetView>
  </sheetViews>
  <sheetFormatPr defaultColWidth="9.140625" defaultRowHeight="12.75" x14ac:dyDescent="0.2"/>
  <cols>
    <col min="1" max="1" width="4.28515625" style="179" customWidth="1"/>
    <col min="2" max="2" width="26.7109375" style="179" customWidth="1"/>
    <col min="3" max="3" width="16.140625" style="179" customWidth="1"/>
    <col min="4" max="4" width="20.42578125" style="179" customWidth="1"/>
    <col min="5" max="5" width="18.28515625" style="179" bestFit="1" customWidth="1"/>
    <col min="6" max="6" width="19.85546875" style="179" bestFit="1" customWidth="1"/>
    <col min="7" max="7" width="14.140625" style="179" bestFit="1" customWidth="1"/>
    <col min="8" max="8" width="13.7109375" style="550" customWidth="1"/>
    <col min="9" max="9" width="10.5703125" style="179" bestFit="1" customWidth="1"/>
    <col min="10" max="10" width="13.85546875" style="179" customWidth="1"/>
    <col min="11" max="11" width="12.42578125" style="179" bestFit="1" customWidth="1"/>
    <col min="12" max="12" width="10.28515625" style="179" bestFit="1" customWidth="1"/>
    <col min="13" max="16384" width="9.140625" style="179"/>
  </cols>
  <sheetData>
    <row r="1" spans="1:9" ht="30" customHeight="1" x14ac:dyDescent="0.2">
      <c r="A1" s="1022" t="s">
        <v>155</v>
      </c>
      <c r="B1" s="1022"/>
      <c r="C1" s="1022"/>
      <c r="D1" s="1022"/>
      <c r="E1" s="1022"/>
      <c r="F1" s="1022"/>
      <c r="G1" s="1022"/>
      <c r="H1" s="556"/>
    </row>
    <row r="2" spans="1:9" ht="28.5" customHeight="1" thickBot="1" x14ac:dyDescent="0.25">
      <c r="A2" s="451" t="s">
        <v>144</v>
      </c>
      <c r="B2" s="451"/>
      <c r="C2" s="451"/>
      <c r="E2" s="906">
        <f>'Qtrly''s-Cntsht Book'!Y20</f>
        <v>1565372.4583333333</v>
      </c>
      <c r="F2" s="555"/>
    </row>
    <row r="3" spans="1:9" s="378" customFormat="1" ht="19.5" customHeight="1" thickBot="1" x14ac:dyDescent="0.25">
      <c r="A3" s="1025" t="s">
        <v>148</v>
      </c>
      <c r="B3" s="1026"/>
      <c r="C3" s="1027" t="s">
        <v>151</v>
      </c>
      <c r="D3" s="1027"/>
      <c r="E3" s="469" t="s">
        <v>154</v>
      </c>
      <c r="F3" s="469" t="s">
        <v>153</v>
      </c>
      <c r="G3" s="470" t="s">
        <v>157</v>
      </c>
      <c r="H3" s="551"/>
      <c r="I3" s="471"/>
    </row>
    <row r="4" spans="1:9" x14ac:dyDescent="0.2">
      <c r="A4" s="535" t="s">
        <v>94</v>
      </c>
      <c r="B4" s="532"/>
      <c r="C4" s="536"/>
      <c r="D4" s="537">
        <f>SUM(C5:C7)</f>
        <v>180754172.40000001</v>
      </c>
      <c r="E4" s="533"/>
      <c r="F4" s="533">
        <f>SUM(D4+E6+E7)</f>
        <v>180290674.90000001</v>
      </c>
      <c r="G4" s="534">
        <f>F4/$E$2</f>
        <v>115.17429857681103</v>
      </c>
      <c r="H4" s="552"/>
    </row>
    <row r="5" spans="1:9" x14ac:dyDescent="0.2">
      <c r="A5" s="406"/>
      <c r="B5" s="263" t="s">
        <v>55</v>
      </c>
      <c r="C5" s="452">
        <f>'COST ALLOCATION'!F8</f>
        <v>180754172.40000001</v>
      </c>
      <c r="D5" s="452"/>
      <c r="F5" s="452"/>
      <c r="G5" s="453"/>
      <c r="H5" s="552"/>
    </row>
    <row r="6" spans="1:9" x14ac:dyDescent="0.2">
      <c r="A6" s="406"/>
      <c r="B6" s="454" t="s">
        <v>390</v>
      </c>
      <c r="C6" s="452"/>
      <c r="D6" s="452"/>
      <c r="E6" s="519">
        <f>'COST ALLOCATION'!F12+'COST ALLOCATION'!F9</f>
        <v>-455511.5</v>
      </c>
      <c r="F6" s="452"/>
      <c r="G6" s="453"/>
      <c r="H6" s="552"/>
    </row>
    <row r="7" spans="1:9" x14ac:dyDescent="0.2">
      <c r="A7" s="406"/>
      <c r="B7" s="263" t="s">
        <v>948</v>
      </c>
      <c r="C7" s="380">
        <v>0</v>
      </c>
      <c r="D7" s="452"/>
      <c r="E7" s="519">
        <f>'COST ALLOCATION'!F11</f>
        <v>-7986</v>
      </c>
      <c r="F7" s="452"/>
      <c r="G7" s="453"/>
      <c r="H7" s="552"/>
    </row>
    <row r="8" spans="1:9" x14ac:dyDescent="0.2">
      <c r="A8" s="535" t="s">
        <v>735</v>
      </c>
      <c r="B8" s="532"/>
      <c r="C8" s="452">
        <f>'COST ALLOCATION'!F19</f>
        <v>1497481.33</v>
      </c>
      <c r="D8" s="533">
        <f>SUM(C8:C8)</f>
        <v>1497481.33</v>
      </c>
      <c r="E8" s="533"/>
      <c r="F8" s="533">
        <f>SUM(D8,E9)</f>
        <v>1342007.1000000001</v>
      </c>
      <c r="G8" s="534">
        <f>F8/$E$2</f>
        <v>0.85730849093183081</v>
      </c>
      <c r="H8" s="552"/>
    </row>
    <row r="9" spans="1:9" x14ac:dyDescent="0.2">
      <c r="A9" s="406"/>
      <c r="B9" s="954" t="s">
        <v>949</v>
      </c>
      <c r="D9" s="452"/>
      <c r="E9" s="519">
        <f>'COST ALLOCATION'!F20+'COST ALLOCATION'!F21</f>
        <v>-155474.23000000001</v>
      </c>
      <c r="F9" s="455"/>
      <c r="G9" s="456"/>
      <c r="H9" s="552"/>
    </row>
    <row r="10" spans="1:9" x14ac:dyDescent="0.2">
      <c r="A10" s="569" t="s">
        <v>734</v>
      </c>
      <c r="B10" s="532"/>
      <c r="C10" s="452">
        <f>D10</f>
        <v>57925921.030000009</v>
      </c>
      <c r="D10" s="533">
        <f>'COST ALLOCATION'!F15</f>
        <v>57925921.030000009</v>
      </c>
      <c r="E10" s="519">
        <f>'COST ALLOCATION'!F16+'COST ALLOCATION'!F17+'COST ALLOCATION'!F18</f>
        <v>-233535.99</v>
      </c>
      <c r="F10" s="533">
        <f>SUM(D10:E10)</f>
        <v>57692385.040000007</v>
      </c>
      <c r="G10" s="534">
        <f>F10/$E$2</f>
        <v>36.855372491621345</v>
      </c>
      <c r="H10" s="552"/>
    </row>
    <row r="11" spans="1:9" x14ac:dyDescent="0.2">
      <c r="A11" s="560" t="s">
        <v>150</v>
      </c>
      <c r="B11" s="532"/>
      <c r="C11" s="533"/>
      <c r="D11" s="533">
        <f>SUM(C12)</f>
        <v>11288153.45314263</v>
      </c>
      <c r="E11" s="519">
        <f>'COST ALLOCATION'!F47</f>
        <v>-97432</v>
      </c>
      <c r="F11" s="533">
        <f>SUM(D11:E11)</f>
        <v>11190721.45314263</v>
      </c>
      <c r="G11" s="534">
        <f>F11/$E$2</f>
        <v>7.1489193473210175</v>
      </c>
      <c r="H11" s="552"/>
    </row>
    <row r="12" spans="1:9" x14ac:dyDescent="0.2">
      <c r="A12" s="545"/>
      <c r="B12" s="263" t="s">
        <v>230</v>
      </c>
      <c r="C12" s="452">
        <f>'COST ALLOCATION'!I6</f>
        <v>11288153.45314263</v>
      </c>
      <c r="D12" s="262"/>
      <c r="E12" s="452"/>
      <c r="F12" s="455"/>
      <c r="G12" s="456"/>
      <c r="H12" s="552"/>
    </row>
    <row r="13" spans="1:9" x14ac:dyDescent="0.2">
      <c r="A13" s="560" t="s">
        <v>233</v>
      </c>
      <c r="B13" s="532"/>
      <c r="C13" s="533"/>
      <c r="D13" s="533">
        <f>SUM(C14:C23)</f>
        <v>13883397.140915601</v>
      </c>
      <c r="E13" s="519">
        <v>-119512.32000000001</v>
      </c>
      <c r="F13" s="533">
        <f>SUM(D13+E13+E14+E15+E16+E17+E18+E19+E20+E22+E21+E23)</f>
        <v>13623884.8209156</v>
      </c>
      <c r="G13" s="534">
        <f>F13/$E$2</f>
        <v>8.7032863957636497</v>
      </c>
      <c r="H13" s="552"/>
    </row>
    <row r="14" spans="1:9" x14ac:dyDescent="0.2">
      <c r="A14" s="545"/>
      <c r="B14" s="263" t="s">
        <v>52</v>
      </c>
      <c r="C14" s="452">
        <f>'COST ALLOCATION'!F22</f>
        <v>1712954.4400000002</v>
      </c>
      <c r="D14" s="452"/>
      <c r="E14" s="452"/>
      <c r="F14" s="455"/>
      <c r="G14" s="456"/>
      <c r="H14" s="552"/>
    </row>
    <row r="15" spans="1:9" x14ac:dyDescent="0.2">
      <c r="A15" s="262"/>
      <c r="B15" s="262" t="s">
        <v>321</v>
      </c>
      <c r="C15" s="452">
        <f>'COST ALLOCATION'!F24</f>
        <v>0</v>
      </c>
      <c r="D15" s="452"/>
      <c r="E15" s="452"/>
      <c r="F15" s="455"/>
      <c r="G15" s="456"/>
      <c r="H15" s="552"/>
    </row>
    <row r="16" spans="1:9" x14ac:dyDescent="0.2">
      <c r="A16" s="262"/>
      <c r="B16" s="262" t="s">
        <v>95</v>
      </c>
      <c r="C16" s="452">
        <f>'COST ALLOCATION'!F30</f>
        <v>7413581.9309155997</v>
      </c>
      <c r="D16" s="452"/>
      <c r="E16" s="452"/>
      <c r="F16" s="455"/>
      <c r="G16" s="456"/>
      <c r="H16" s="552"/>
    </row>
    <row r="17" spans="1:10" x14ac:dyDescent="0.2">
      <c r="A17" s="262"/>
      <c r="B17" s="262" t="s">
        <v>152</v>
      </c>
      <c r="C17" s="452">
        <f>'COST ALLOCATION'!F13</f>
        <v>560879.31999999995</v>
      </c>
      <c r="D17" s="452"/>
      <c r="E17" s="452"/>
      <c r="F17" s="455"/>
      <c r="G17" s="456"/>
      <c r="H17" s="552"/>
    </row>
    <row r="18" spans="1:10" x14ac:dyDescent="0.2">
      <c r="A18" s="262"/>
      <c r="B18" s="262" t="s">
        <v>814</v>
      </c>
      <c r="C18" s="452">
        <f>'COST ALLOCATION'!F14</f>
        <v>0</v>
      </c>
      <c r="D18" s="452"/>
      <c r="E18" s="452"/>
      <c r="F18" s="455"/>
      <c r="G18" s="456"/>
      <c r="H18" s="552"/>
    </row>
    <row r="19" spans="1:10" x14ac:dyDescent="0.2">
      <c r="A19" s="262"/>
      <c r="B19" s="262" t="s">
        <v>313</v>
      </c>
      <c r="C19" s="452">
        <f>'COST ALLOCATION'!F25</f>
        <v>1083646.72</v>
      </c>
      <c r="D19" s="452"/>
      <c r="E19" s="452"/>
      <c r="F19" s="455"/>
      <c r="G19" s="456"/>
      <c r="H19" s="552"/>
    </row>
    <row r="20" spans="1:10" x14ac:dyDescent="0.2">
      <c r="A20" s="262"/>
      <c r="B20" s="262" t="s">
        <v>54</v>
      </c>
      <c r="C20" s="452">
        <f>'COST ALLOCATION'!F26</f>
        <v>2629990.7100000004</v>
      </c>
      <c r="D20" s="452"/>
      <c r="E20" s="452"/>
      <c r="F20" s="455"/>
      <c r="G20" s="456"/>
      <c r="H20" s="552"/>
    </row>
    <row r="21" spans="1:10" x14ac:dyDescent="0.2">
      <c r="A21" s="262"/>
      <c r="B21" s="262" t="s">
        <v>232</v>
      </c>
      <c r="C21" s="452"/>
      <c r="D21" s="452"/>
      <c r="E21" s="519">
        <f>'COST ALLOCATION'!F27</f>
        <v>-140000</v>
      </c>
      <c r="F21" s="455"/>
      <c r="G21" s="456"/>
      <c r="H21" s="552"/>
    </row>
    <row r="22" spans="1:10" x14ac:dyDescent="0.2">
      <c r="A22" s="262"/>
      <c r="B22" s="262" t="s">
        <v>314</v>
      </c>
      <c r="C22" s="452">
        <f>'COST ALLOCATION'!F28</f>
        <v>482344.02</v>
      </c>
      <c r="D22" s="452"/>
      <c r="E22" s="452"/>
      <c r="F22" s="455"/>
      <c r="G22" s="456"/>
      <c r="H22" s="552"/>
    </row>
    <row r="23" spans="1:10" ht="13.5" thickBot="1" x14ac:dyDescent="0.25">
      <c r="A23" s="546"/>
      <c r="B23" s="531"/>
      <c r="C23" s="538"/>
      <c r="D23" s="457"/>
      <c r="E23" s="519"/>
      <c r="F23" s="458"/>
      <c r="G23" s="539"/>
      <c r="H23" s="552"/>
    </row>
    <row r="24" spans="1:10" ht="16.5" thickBot="1" x14ac:dyDescent="0.3">
      <c r="A24" s="559" t="s">
        <v>157</v>
      </c>
      <c r="B24" s="540"/>
      <c r="C24" s="541"/>
      <c r="D24" s="542">
        <f>SUM(D4:D17)</f>
        <v>265349125.35405827</v>
      </c>
      <c r="E24" s="543">
        <f>SUM(E4:E23)</f>
        <v>-1209452.04</v>
      </c>
      <c r="F24" s="544">
        <f>SUM(F4:F22)</f>
        <v>264139673.31405827</v>
      </c>
      <c r="G24" s="861">
        <f>SUM(G4:G22)</f>
        <v>168.73918530244887</v>
      </c>
    </row>
    <row r="25" spans="1:10" ht="27.75" customHeight="1" thickBot="1" x14ac:dyDescent="0.25">
      <c r="A25" s="522" t="s">
        <v>212</v>
      </c>
      <c r="B25" s="381"/>
      <c r="D25" s="226"/>
      <c r="E25" s="226"/>
      <c r="F25" s="226"/>
      <c r="G25" s="226"/>
    </row>
    <row r="26" spans="1:10" s="211" customFormat="1" ht="53.25" customHeight="1" thickTop="1" thickBot="1" x14ac:dyDescent="0.3">
      <c r="A26" s="1028" t="s">
        <v>55</v>
      </c>
      <c r="B26" s="1029"/>
      <c r="C26" s="331" t="s">
        <v>51</v>
      </c>
      <c r="D26" s="331" t="s">
        <v>96</v>
      </c>
      <c r="E26" s="331" t="s">
        <v>97</v>
      </c>
      <c r="F26" s="332" t="s">
        <v>53</v>
      </c>
      <c r="G26" s="332" t="s">
        <v>61</v>
      </c>
      <c r="H26" s="620" t="s">
        <v>98</v>
      </c>
      <c r="I26" s="332" t="s">
        <v>234</v>
      </c>
      <c r="J26" s="331" t="s">
        <v>47</v>
      </c>
    </row>
    <row r="27" spans="1:10" ht="13.5" thickTop="1" x14ac:dyDescent="0.2">
      <c r="A27" s="262" t="s">
        <v>294</v>
      </c>
      <c r="B27" s="262"/>
      <c r="C27" s="380">
        <f>'Sched-B1'!E4+'Sched-D1'!F44</f>
        <v>32570126</v>
      </c>
      <c r="D27" s="459">
        <f>'Inmate Avg Daily Population'!O4</f>
        <v>310268.25</v>
      </c>
      <c r="E27" s="460">
        <f>C27/D27</f>
        <v>104.97408613353123</v>
      </c>
      <c r="F27" s="461">
        <f>$G$8</f>
        <v>0.85730849093183081</v>
      </c>
      <c r="G27" s="462">
        <f>$G$10</f>
        <v>36.855372491621345</v>
      </c>
      <c r="H27" s="462">
        <f>$G$11</f>
        <v>7.1489193473210175</v>
      </c>
      <c r="I27" s="462">
        <f t="shared" ref="I27:I39" si="0">$G$13</f>
        <v>8.7032863957636497</v>
      </c>
      <c r="J27" s="380">
        <f>SUM(E27:I27)</f>
        <v>158.53897285916909</v>
      </c>
    </row>
    <row r="28" spans="1:10" x14ac:dyDescent="0.2">
      <c r="A28" s="262" t="s">
        <v>646</v>
      </c>
      <c r="B28" s="262"/>
      <c r="C28" s="380">
        <f>'Sched-B1'!E5+'Sched-D1'!F89</f>
        <v>6919676.3600000003</v>
      </c>
      <c r="D28" s="562">
        <f>'Inmate Avg Daily Population'!O5</f>
        <v>45399.916666666664</v>
      </c>
      <c r="E28" s="460">
        <f>C28/D28</f>
        <v>152.41605861978456</v>
      </c>
      <c r="F28" s="461">
        <f t="shared" ref="F28:F39" si="1">$G$8</f>
        <v>0.85730849093183081</v>
      </c>
      <c r="G28" s="462">
        <f>$G$10</f>
        <v>36.855372491621345</v>
      </c>
      <c r="H28" s="462">
        <f>$G$11</f>
        <v>7.1489193473210175</v>
      </c>
      <c r="I28" s="462">
        <f t="shared" si="0"/>
        <v>8.7032863957636497</v>
      </c>
      <c r="J28" s="380">
        <f>SUM(E28:I28)</f>
        <v>205.98094534542244</v>
      </c>
    </row>
    <row r="29" spans="1:10" x14ac:dyDescent="0.2">
      <c r="A29" s="262" t="s">
        <v>736</v>
      </c>
      <c r="B29" s="262"/>
      <c r="C29" s="380">
        <f>'Sched-B1'!E7+'Sched-D1'!F190</f>
        <v>12690107.84</v>
      </c>
      <c r="D29" s="463">
        <f>'Inmate Avg Daily Population'!O6</f>
        <v>98385.75</v>
      </c>
      <c r="E29" s="460">
        <f>C29/D29</f>
        <v>128.98318953710267</v>
      </c>
      <c r="F29" s="461">
        <f>$G$8</f>
        <v>0.85730849093183081</v>
      </c>
      <c r="G29" s="462">
        <f t="shared" ref="G29:G39" si="2">$G$10</f>
        <v>36.855372491621345</v>
      </c>
      <c r="H29" s="462">
        <f t="shared" ref="H29:H39" si="3">$G$11</f>
        <v>7.1489193473210175</v>
      </c>
      <c r="I29" s="462">
        <f t="shared" si="0"/>
        <v>8.7032863957636497</v>
      </c>
      <c r="J29" s="380">
        <f>SUM(E29:I29)</f>
        <v>182.54807626274055</v>
      </c>
    </row>
    <row r="30" spans="1:10" x14ac:dyDescent="0.2">
      <c r="A30" s="262" t="s">
        <v>656</v>
      </c>
      <c r="B30" s="262"/>
      <c r="C30" s="380">
        <f>'Sched-B1'!E8+'Sched-D1'!F242</f>
        <v>40528059.530000001</v>
      </c>
      <c r="D30" s="463">
        <f>'Inmate Avg Daily Population'!O7</f>
        <v>486837</v>
      </c>
      <c r="E30" s="460">
        <f>C30/D30</f>
        <v>83.247697956400188</v>
      </c>
      <c r="F30" s="461">
        <f>$G$8</f>
        <v>0.85730849093183081</v>
      </c>
      <c r="G30" s="462">
        <f t="shared" si="2"/>
        <v>36.855372491621345</v>
      </c>
      <c r="H30" s="462">
        <f t="shared" si="3"/>
        <v>7.1489193473210175</v>
      </c>
      <c r="I30" s="462">
        <f t="shared" si="0"/>
        <v>8.7032863957636497</v>
      </c>
      <c r="J30" s="380">
        <f>SUM(E30:I30)</f>
        <v>136.81258468203805</v>
      </c>
    </row>
    <row r="31" spans="1:10" x14ac:dyDescent="0.2">
      <c r="A31" s="262" t="s">
        <v>645</v>
      </c>
      <c r="B31" s="262"/>
      <c r="C31" s="380">
        <f>'Sched-B1'!E6+'Sched-D1'!F138</f>
        <v>14155036.83</v>
      </c>
      <c r="D31" s="463">
        <f>'Inmate Avg Daily Population'!O8</f>
        <v>113162.16666666667</v>
      </c>
      <c r="E31" s="460">
        <f t="shared" ref="E31:E39" si="4">C31/D31</f>
        <v>125.08630089856297</v>
      </c>
      <c r="F31" s="461">
        <f t="shared" si="1"/>
        <v>0.85730849093183081</v>
      </c>
      <c r="G31" s="462">
        <f t="shared" si="2"/>
        <v>36.855372491621345</v>
      </c>
      <c r="H31" s="462">
        <f t="shared" si="3"/>
        <v>7.1489193473210175</v>
      </c>
      <c r="I31" s="462">
        <f t="shared" si="0"/>
        <v>8.7032863957636497</v>
      </c>
      <c r="J31" s="380">
        <f t="shared" ref="J31:J39" si="5">SUM(E31:I31)</f>
        <v>178.65118762420082</v>
      </c>
    </row>
    <row r="32" spans="1:10" x14ac:dyDescent="0.2">
      <c r="A32" s="262" t="s">
        <v>737</v>
      </c>
      <c r="B32" s="262"/>
      <c r="C32" s="380">
        <f>'Sched-B1'!E9+'Sched-D1'!F296</f>
        <v>4602921.4400000004</v>
      </c>
      <c r="D32" s="463">
        <f>'Inmate Avg Daily Population'!O9</f>
        <v>18922.208333333336</v>
      </c>
      <c r="E32" s="460">
        <f t="shared" si="4"/>
        <v>243.25498160230592</v>
      </c>
      <c r="F32" s="461">
        <f t="shared" si="1"/>
        <v>0.85730849093183081</v>
      </c>
      <c r="G32" s="462">
        <f t="shared" si="2"/>
        <v>36.855372491621345</v>
      </c>
      <c r="H32" s="462">
        <f t="shared" si="3"/>
        <v>7.1489193473210175</v>
      </c>
      <c r="I32" s="462">
        <f t="shared" si="0"/>
        <v>8.7032863957636497</v>
      </c>
      <c r="J32" s="380">
        <f t="shared" si="5"/>
        <v>296.81986832794377</v>
      </c>
    </row>
    <row r="33" spans="1:10" x14ac:dyDescent="0.2">
      <c r="A33" s="262" t="s">
        <v>668</v>
      </c>
      <c r="B33" s="262"/>
      <c r="C33" s="380">
        <f>'Sched-B1'!E10+'Sched-D1'!F345</f>
        <v>10625941.800000001</v>
      </c>
      <c r="D33" s="463">
        <f>'Inmate Avg Daily Population'!O10</f>
        <v>76084.25</v>
      </c>
      <c r="E33" s="460">
        <f t="shared" si="4"/>
        <v>139.66020299864954</v>
      </c>
      <c r="F33" s="461">
        <f t="shared" si="1"/>
        <v>0.85730849093183081</v>
      </c>
      <c r="G33" s="462">
        <f t="shared" si="2"/>
        <v>36.855372491621345</v>
      </c>
      <c r="H33" s="462">
        <f t="shared" si="3"/>
        <v>7.1489193473210175</v>
      </c>
      <c r="I33" s="462">
        <f t="shared" si="0"/>
        <v>8.7032863957636497</v>
      </c>
      <c r="J33" s="380">
        <f t="shared" si="5"/>
        <v>193.22508972428741</v>
      </c>
    </row>
    <row r="34" spans="1:10" x14ac:dyDescent="0.2">
      <c r="A34" s="262" t="s">
        <v>738</v>
      </c>
      <c r="B34" s="262"/>
      <c r="C34" s="380">
        <f>'Sched-B1'!E11+'Sched-D1'!F398</f>
        <v>6495487.2400000002</v>
      </c>
      <c r="D34" s="463">
        <f>'Inmate Avg Daily Population'!O11</f>
        <v>31837.124999999993</v>
      </c>
      <c r="E34" s="460">
        <f t="shared" si="4"/>
        <v>204.02241848156834</v>
      </c>
      <c r="F34" s="461">
        <f t="shared" si="1"/>
        <v>0.85730849093183081</v>
      </c>
      <c r="G34" s="462">
        <f t="shared" si="2"/>
        <v>36.855372491621345</v>
      </c>
      <c r="H34" s="462">
        <f t="shared" si="3"/>
        <v>7.1489193473210175</v>
      </c>
      <c r="I34" s="462">
        <f t="shared" si="0"/>
        <v>8.7032863957636497</v>
      </c>
      <c r="J34" s="380">
        <f>SUM(E34:I34)</f>
        <v>257.58730520720621</v>
      </c>
    </row>
    <row r="35" spans="1:10" x14ac:dyDescent="0.2">
      <c r="A35" s="262" t="s">
        <v>739</v>
      </c>
      <c r="B35" s="262"/>
      <c r="C35" s="380">
        <f>'Sched-B1'!E12+'Sched-D1'!F447</f>
        <v>94820.73000000001</v>
      </c>
      <c r="D35" s="460">
        <f>'Inmate Avg Daily Population'!O12</f>
        <v>0</v>
      </c>
      <c r="E35" s="460">
        <v>0</v>
      </c>
      <c r="F35" s="461">
        <f>$G$8*0</f>
        <v>0</v>
      </c>
      <c r="G35" s="462">
        <f>$G$10*0</f>
        <v>0</v>
      </c>
      <c r="H35" s="462">
        <f>$G$11*0</f>
        <v>0</v>
      </c>
      <c r="I35" s="462">
        <f>$G$13*0</f>
        <v>0</v>
      </c>
      <c r="J35" s="380">
        <f>SUM(E35:I35)</f>
        <v>0</v>
      </c>
    </row>
    <row r="36" spans="1:10" x14ac:dyDescent="0.2">
      <c r="A36" s="1023" t="s">
        <v>312</v>
      </c>
      <c r="B36" s="1024"/>
      <c r="C36" s="380">
        <f>'Sched-B1'!E16+'Sched-D1'!F659</f>
        <v>4294758.95</v>
      </c>
      <c r="D36" s="463">
        <f>'Inmate Avg Daily Population'!O13</f>
        <v>31824.958333333332</v>
      </c>
      <c r="E36" s="460">
        <f t="shared" si="4"/>
        <v>134.94939742000187</v>
      </c>
      <c r="F36" s="461">
        <f t="shared" si="1"/>
        <v>0.85730849093183081</v>
      </c>
      <c r="G36" s="462">
        <f t="shared" si="2"/>
        <v>36.855372491621345</v>
      </c>
      <c r="H36" s="462">
        <f t="shared" si="3"/>
        <v>7.1489193473210175</v>
      </c>
      <c r="I36" s="462">
        <f t="shared" si="0"/>
        <v>8.7032863957636497</v>
      </c>
      <c r="J36" s="380">
        <f t="shared" si="5"/>
        <v>188.51428414563975</v>
      </c>
    </row>
    <row r="37" spans="1:10" x14ac:dyDescent="0.2">
      <c r="A37" s="262" t="s">
        <v>659</v>
      </c>
      <c r="B37" s="262"/>
      <c r="C37" s="380">
        <f>'Sched-B1'!E13+'Sched-D1'!F501</f>
        <v>22400760.560000002</v>
      </c>
      <c r="D37" s="464">
        <f>'Inmate Avg Daily Population'!O14</f>
        <v>143332.45833333331</v>
      </c>
      <c r="E37" s="460">
        <f t="shared" si="4"/>
        <v>156.28533006742197</v>
      </c>
      <c r="F37" s="461">
        <f t="shared" si="1"/>
        <v>0.85730849093183081</v>
      </c>
      <c r="G37" s="462">
        <f t="shared" si="2"/>
        <v>36.855372491621345</v>
      </c>
      <c r="H37" s="462">
        <f t="shared" si="3"/>
        <v>7.1489193473210175</v>
      </c>
      <c r="I37" s="462">
        <f t="shared" si="0"/>
        <v>8.7032863957636497</v>
      </c>
      <c r="J37" s="380">
        <f t="shared" si="5"/>
        <v>209.85021679305984</v>
      </c>
    </row>
    <row r="38" spans="1:10" x14ac:dyDescent="0.2">
      <c r="A38" s="265" t="s">
        <v>660</v>
      </c>
      <c r="B38" s="265"/>
      <c r="C38" s="380">
        <f>'Sched-B1'!E14+'Sched-D1'!F555</f>
        <v>15506331.210000001</v>
      </c>
      <c r="D38" s="464">
        <f>'Inmate Avg Daily Population'!O15</f>
        <v>148795.29166666666</v>
      </c>
      <c r="E38" s="460">
        <f t="shared" si="4"/>
        <v>104.2125126159066</v>
      </c>
      <c r="F38" s="465">
        <f t="shared" si="1"/>
        <v>0.85730849093183081</v>
      </c>
      <c r="G38" s="462">
        <f t="shared" si="2"/>
        <v>36.855372491621345</v>
      </c>
      <c r="H38" s="462">
        <f t="shared" si="3"/>
        <v>7.1489193473210175</v>
      </c>
      <c r="I38" s="462">
        <f t="shared" si="0"/>
        <v>8.7032863957636497</v>
      </c>
      <c r="J38" s="380">
        <f t="shared" si="5"/>
        <v>157.77739934154445</v>
      </c>
    </row>
    <row r="39" spans="1:10" ht="13.5" thickBot="1" x14ac:dyDescent="0.25">
      <c r="A39" s="545" t="s">
        <v>740</v>
      </c>
      <c r="B39" s="263"/>
      <c r="C39" s="380">
        <f>'Sched-B1'!E15+'Sched-D1'!F605</f>
        <v>9406646.4100000001</v>
      </c>
      <c r="D39" s="466">
        <f>'Inmate Avg Daily Population'!O16</f>
        <v>60523.083333333328</v>
      </c>
      <c r="E39" s="467">
        <f t="shared" si="4"/>
        <v>155.42245853854661</v>
      </c>
      <c r="F39" s="465">
        <f t="shared" si="1"/>
        <v>0.85730849093183081</v>
      </c>
      <c r="G39" s="462">
        <f t="shared" si="2"/>
        <v>36.855372491621345</v>
      </c>
      <c r="H39" s="462">
        <f t="shared" si="3"/>
        <v>7.1489193473210175</v>
      </c>
      <c r="I39" s="462">
        <f t="shared" si="0"/>
        <v>8.7032863957636497</v>
      </c>
      <c r="J39" s="467">
        <f t="shared" si="5"/>
        <v>208.98734526418448</v>
      </c>
    </row>
    <row r="40" spans="1:10" s="381" customFormat="1" ht="15.75" customHeight="1" thickTop="1" thickBot="1" x14ac:dyDescent="0.25">
      <c r="A40" s="553" t="s">
        <v>60</v>
      </c>
      <c r="B40" s="554"/>
      <c r="C40" s="863">
        <f>SUM(C27:C39)</f>
        <v>180290674.90000001</v>
      </c>
      <c r="D40" s="864">
        <f>SUM(D27:D39)</f>
        <v>1565372.4583333333</v>
      </c>
      <c r="E40" s="865">
        <f>G4</f>
        <v>115.17429857681103</v>
      </c>
      <c r="F40" s="866">
        <f>G8</f>
        <v>0.85730849093183081</v>
      </c>
      <c r="G40" s="867">
        <f>G10</f>
        <v>36.855372491621345</v>
      </c>
      <c r="H40" s="867">
        <f>G11</f>
        <v>7.1489193473210175</v>
      </c>
      <c r="I40" s="866">
        <f>G13</f>
        <v>8.7032863957636497</v>
      </c>
      <c r="J40" s="862">
        <f>SUM(E40:I40)</f>
        <v>168.73918530244887</v>
      </c>
    </row>
    <row r="41" spans="1:10" ht="13.5" thickTop="1" x14ac:dyDescent="0.2">
      <c r="C41" s="226"/>
      <c r="E41" s="226"/>
    </row>
    <row r="42" spans="1:10" x14ac:dyDescent="0.2">
      <c r="C42" s="226"/>
    </row>
    <row r="43" spans="1:10" x14ac:dyDescent="0.2">
      <c r="J43" s="226"/>
    </row>
    <row r="44" spans="1:10" x14ac:dyDescent="0.2">
      <c r="A44" s="238" t="s">
        <v>951</v>
      </c>
      <c r="B44" s="468"/>
    </row>
    <row r="57" spans="6:7" x14ac:dyDescent="0.2">
      <c r="F57" s="226"/>
      <c r="G57" s="226"/>
    </row>
  </sheetData>
  <mergeCells count="5">
    <mergeCell ref="A1:G1"/>
    <mergeCell ref="A36:B36"/>
    <mergeCell ref="A3:B3"/>
    <mergeCell ref="C3:D3"/>
    <mergeCell ref="A26:B26"/>
  </mergeCells>
  <phoneticPr fontId="21" type="noConversion"/>
  <printOptions horizontalCentered="1"/>
  <pageMargins left="0" right="0" top="1" bottom="0.5" header="0.33" footer="0.5"/>
  <pageSetup scale="80" fitToHeight="0" orientation="landscape" r:id="rId1"/>
  <headerFooter alignWithMargins="0">
    <oddHeader>&amp;C&amp;"Arial,Bold"&amp;12DEPARTMENT OF CORRECTIONS
 COST OF CARE Year 2019
(Based on Fiscal Year 2018 Actuals)</oddHeader>
    <oddFooter>&amp;L&amp;8&amp;F &amp;A&amp;R&amp;8&amp;D &amp;T</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1:V33"/>
  <sheetViews>
    <sheetView showGridLines="0" zoomScale="75" workbookViewId="0">
      <pane ySplit="3" topLeftCell="A13" activePane="bottomLeft" state="frozenSplit"/>
      <selection activeCell="B35" sqref="B35"/>
      <selection pane="bottomLeft" activeCell="N25" sqref="N25"/>
    </sheetView>
  </sheetViews>
  <sheetFormatPr defaultColWidth="9.140625" defaultRowHeight="12.75" x14ac:dyDescent="0.2"/>
  <cols>
    <col min="1" max="1" width="28.42578125" style="179" customWidth="1"/>
    <col min="2" max="2" width="12.28515625" style="179" customWidth="1"/>
    <col min="3" max="3" width="11.7109375" style="179" customWidth="1"/>
    <col min="4" max="4" width="11" style="179" customWidth="1"/>
    <col min="5" max="5" width="11.28515625" style="179" customWidth="1"/>
    <col min="6" max="6" width="11.42578125" style="179" customWidth="1"/>
    <col min="7" max="7" width="11.5703125" style="179" customWidth="1"/>
    <col min="8" max="8" width="11.28515625" style="179" customWidth="1"/>
    <col min="9" max="9" width="11.5703125" style="179" customWidth="1"/>
    <col min="10" max="10" width="11.28515625" style="179" customWidth="1"/>
    <col min="11" max="11" width="10.85546875" style="179" customWidth="1"/>
    <col min="12" max="12" width="11.42578125" style="179" customWidth="1"/>
    <col min="13" max="13" width="10.85546875" style="179" customWidth="1"/>
    <col min="14" max="14" width="16.5703125" style="179" customWidth="1"/>
    <col min="15" max="15" width="15.42578125" style="179" customWidth="1"/>
    <col min="16" max="16384" width="9.140625" style="179"/>
  </cols>
  <sheetData>
    <row r="1" spans="1:22" ht="31.5" customHeight="1" thickBot="1" x14ac:dyDescent="0.25">
      <c r="A1" s="212" t="s">
        <v>144</v>
      </c>
    </row>
    <row r="2" spans="1:22" ht="33.75" customHeight="1" x14ac:dyDescent="0.25">
      <c r="A2" s="472"/>
      <c r="B2" s="1030" t="s">
        <v>142</v>
      </c>
      <c r="C2" s="1031"/>
      <c r="D2" s="1031"/>
      <c r="E2" s="1031"/>
      <c r="F2" s="1031"/>
      <c r="G2" s="1031"/>
      <c r="H2" s="1031"/>
      <c r="I2" s="1031"/>
      <c r="J2" s="1031"/>
      <c r="K2" s="1031"/>
      <c r="L2" s="1031"/>
      <c r="M2" s="1032"/>
      <c r="N2" s="1033" t="s">
        <v>143</v>
      </c>
      <c r="O2" s="1035" t="s">
        <v>144</v>
      </c>
    </row>
    <row r="3" spans="1:22" ht="33.75" customHeight="1" thickBot="1" x14ac:dyDescent="0.25">
      <c r="A3" s="481" t="s">
        <v>55</v>
      </c>
      <c r="B3" s="830">
        <v>42925</v>
      </c>
      <c r="C3" s="830">
        <v>42956</v>
      </c>
      <c r="D3" s="830">
        <v>42987</v>
      </c>
      <c r="E3" s="830">
        <v>43017</v>
      </c>
      <c r="F3" s="830">
        <v>43048</v>
      </c>
      <c r="G3" s="830">
        <v>43078</v>
      </c>
      <c r="H3" s="830">
        <v>43109</v>
      </c>
      <c r="I3" s="830">
        <v>43140</v>
      </c>
      <c r="J3" s="830">
        <v>43168</v>
      </c>
      <c r="K3" s="830">
        <v>43199</v>
      </c>
      <c r="L3" s="830">
        <v>43229</v>
      </c>
      <c r="M3" s="830">
        <v>43260</v>
      </c>
      <c r="N3" s="1034"/>
      <c r="O3" s="1036"/>
    </row>
    <row r="4" spans="1:22" ht="22.5" customHeight="1" x14ac:dyDescent="0.25">
      <c r="A4" s="473" t="s">
        <v>387</v>
      </c>
      <c r="B4" s="185">
        <f>'Qtrly''s-Cntsht Book'!D6</f>
        <v>846.2</v>
      </c>
      <c r="C4" s="185">
        <f>'Qtrly''s-Cntsht Book'!E6</f>
        <v>842</v>
      </c>
      <c r="D4" s="185">
        <f>'Qtrly''s-Cntsht Book'!F6</f>
        <v>871.8</v>
      </c>
      <c r="E4" s="613">
        <f>'Qtrly''s-Cntsht Book'!I6</f>
        <v>842.8</v>
      </c>
      <c r="F4" s="613">
        <f>'Qtrly''s-Cntsht Book'!J6</f>
        <v>846.5</v>
      </c>
      <c r="G4" s="613">
        <f>'Qtrly''s-Cntsht Book'!K6</f>
        <v>831.2</v>
      </c>
      <c r="H4" s="613">
        <f>'Qtrly''s-Cntsht Book'!N6</f>
        <v>847.8</v>
      </c>
      <c r="I4" s="613">
        <f>'Qtrly''s-Cntsht Book'!O6</f>
        <v>862.6</v>
      </c>
      <c r="J4" s="613">
        <f>'Qtrly''s-Cntsht Book'!P6</f>
        <v>854.7</v>
      </c>
      <c r="K4" s="613">
        <f>'Qtrly''s-Cntsht Book'!S6</f>
        <v>850.7</v>
      </c>
      <c r="L4" s="613">
        <f>'Qtrly''s-Cntsht Book'!T6</f>
        <v>834.8</v>
      </c>
      <c r="M4" s="613">
        <f>'Qtrly''s-Cntsht Book'!U6</f>
        <v>869.5</v>
      </c>
      <c r="N4" s="474">
        <f>SUM(B4:M4)/12</f>
        <v>850.05000000000007</v>
      </c>
      <c r="O4" s="475">
        <f>N4*365</f>
        <v>310268.25</v>
      </c>
      <c r="R4" s="510"/>
      <c r="S4" s="511"/>
      <c r="T4" s="512"/>
      <c r="U4" s="512"/>
      <c r="V4" s="513"/>
    </row>
    <row r="5" spans="1:22" ht="23.45" customHeight="1" x14ac:dyDescent="0.25">
      <c r="A5" s="476" t="s">
        <v>127</v>
      </c>
      <c r="B5" s="185">
        <f>'Qtrly''s-Cntsht Book'!D7</f>
        <v>120.1</v>
      </c>
      <c r="C5" s="185">
        <f>'Qtrly''s-Cntsht Book'!E7</f>
        <v>123.7</v>
      </c>
      <c r="D5" s="185">
        <f>'Qtrly''s-Cntsht Book'!F7</f>
        <v>121.5</v>
      </c>
      <c r="E5" s="613">
        <f>'Qtrly''s-Cntsht Book'!I7</f>
        <v>125.1</v>
      </c>
      <c r="F5" s="613">
        <f>'Qtrly''s-Cntsht Book'!J7</f>
        <v>116.2</v>
      </c>
      <c r="G5" s="613">
        <f>'Qtrly''s-Cntsht Book'!K7</f>
        <v>125.3</v>
      </c>
      <c r="H5" s="613">
        <f>'Qtrly''s-Cntsht Book'!N7</f>
        <v>120.4</v>
      </c>
      <c r="I5" s="613">
        <f>'Qtrly''s-Cntsht Book'!O7</f>
        <v>130.9</v>
      </c>
      <c r="J5" s="613">
        <f>'Qtrly''s-Cntsht Book'!P7</f>
        <v>121.8</v>
      </c>
      <c r="K5" s="613">
        <f>'Qtrly''s-Cntsht Book'!S7</f>
        <v>122.2</v>
      </c>
      <c r="L5" s="613">
        <f>'Qtrly''s-Cntsht Book'!T7</f>
        <v>128.80000000000001</v>
      </c>
      <c r="M5" s="613">
        <f>'Qtrly''s-Cntsht Book'!U7</f>
        <v>136.6</v>
      </c>
      <c r="N5" s="832">
        <f>SUM(B5:M5)/12</f>
        <v>124.38333333333333</v>
      </c>
      <c r="O5" s="475">
        <f>N5*365</f>
        <v>45399.916666666664</v>
      </c>
      <c r="R5" s="489"/>
      <c r="S5" s="514"/>
      <c r="T5" s="512"/>
      <c r="U5" s="512"/>
      <c r="V5" s="513"/>
    </row>
    <row r="6" spans="1:22" ht="23.45" customHeight="1" x14ac:dyDescent="0.25">
      <c r="A6" s="477" t="s">
        <v>24</v>
      </c>
      <c r="B6" s="185">
        <f>'Qtrly''s-Cntsht Book'!D8</f>
        <v>300</v>
      </c>
      <c r="C6" s="185">
        <f>'Qtrly''s-Cntsht Book'!E8</f>
        <v>305.8</v>
      </c>
      <c r="D6" s="185">
        <f>'Qtrly''s-Cntsht Book'!F8</f>
        <v>291.10000000000002</v>
      </c>
      <c r="E6" s="613">
        <f>'Qtrly''s-Cntsht Book'!I8</f>
        <v>271.10000000000002</v>
      </c>
      <c r="F6" s="613">
        <f>'Qtrly''s-Cntsht Book'!J8</f>
        <v>256.7</v>
      </c>
      <c r="G6" s="613">
        <f>'Qtrly''s-Cntsht Book'!K8</f>
        <v>261</v>
      </c>
      <c r="H6" s="613">
        <f>'Qtrly''s-Cntsht Book'!N8</f>
        <v>252.7</v>
      </c>
      <c r="I6" s="613">
        <f>'Qtrly''s-Cntsht Book'!O8</f>
        <v>271.10000000000002</v>
      </c>
      <c r="J6" s="613">
        <f>'Qtrly''s-Cntsht Book'!P8</f>
        <v>262.60000000000002</v>
      </c>
      <c r="K6" s="613">
        <f>'Qtrly''s-Cntsht Book'!S8</f>
        <v>258.60000000000002</v>
      </c>
      <c r="L6" s="613">
        <f>'Qtrly''s-Cntsht Book'!T8</f>
        <v>252.5</v>
      </c>
      <c r="M6" s="613">
        <f>'Qtrly''s-Cntsht Book'!U8</f>
        <v>251.4</v>
      </c>
      <c r="N6" s="832">
        <f t="shared" ref="N6:N17" si="0">SUM(B6:M6)/12</f>
        <v>269.55</v>
      </c>
      <c r="O6" s="475">
        <f>N6*365</f>
        <v>98385.75</v>
      </c>
      <c r="R6" s="489"/>
      <c r="S6" s="514"/>
      <c r="T6" s="512"/>
      <c r="U6" s="512"/>
      <c r="V6" s="513"/>
    </row>
    <row r="7" spans="1:22" ht="23.45" customHeight="1" x14ac:dyDescent="0.25">
      <c r="A7" s="477" t="s">
        <v>436</v>
      </c>
      <c r="B7" s="185">
        <f>'Qtrly''s-Cntsht Book'!D9</f>
        <v>1305.5999999999999</v>
      </c>
      <c r="C7" s="185">
        <f>'Qtrly''s-Cntsht Book'!E9</f>
        <v>1303.5</v>
      </c>
      <c r="D7" s="185">
        <f>'Qtrly''s-Cntsht Book'!F9</f>
        <v>1336.9</v>
      </c>
      <c r="E7" s="613">
        <f>'Qtrly''s-Cntsht Book'!I9</f>
        <v>1419</v>
      </c>
      <c r="F7" s="613">
        <f>'Qtrly''s-Cntsht Book'!J9</f>
        <v>1378.4</v>
      </c>
      <c r="G7" s="613">
        <f>'Qtrly''s-Cntsht Book'!K9</f>
        <v>1382.7</v>
      </c>
      <c r="H7" s="613">
        <f>'Qtrly''s-Cntsht Book'!N9</f>
        <v>1377.7</v>
      </c>
      <c r="I7" s="613">
        <f>'Qtrly''s-Cntsht Book'!O9</f>
        <v>1347.6</v>
      </c>
      <c r="J7" s="613">
        <f>'Qtrly''s-Cntsht Book'!P9</f>
        <v>1320.5</v>
      </c>
      <c r="K7" s="613">
        <f>'Qtrly''s-Cntsht Book'!S9</f>
        <v>1297.8</v>
      </c>
      <c r="L7" s="613">
        <f>'Qtrly''s-Cntsht Book'!T9</f>
        <v>1276.7</v>
      </c>
      <c r="M7" s="613">
        <f>'Qtrly''s-Cntsht Book'!U9</f>
        <v>1259.2</v>
      </c>
      <c r="N7" s="832">
        <f>SUM(B7:M7)/12</f>
        <v>1333.8</v>
      </c>
      <c r="O7" s="475">
        <f>N7*365</f>
        <v>486837</v>
      </c>
      <c r="R7" s="489"/>
      <c r="S7" s="514"/>
      <c r="T7" s="512"/>
      <c r="U7" s="512"/>
      <c r="V7" s="513"/>
    </row>
    <row r="8" spans="1:22" ht="23.45" customHeight="1" x14ac:dyDescent="0.25">
      <c r="A8" s="477" t="s">
        <v>214</v>
      </c>
      <c r="B8" s="185">
        <f>'Qtrly''s-Cntsht Book'!D10</f>
        <v>301.8</v>
      </c>
      <c r="C8" s="185">
        <f>'Qtrly''s-Cntsht Book'!E10</f>
        <v>299.89999999999998</v>
      </c>
      <c r="D8" s="185">
        <f>'Qtrly''s-Cntsht Book'!F10</f>
        <v>306.2</v>
      </c>
      <c r="E8" s="613">
        <f>'Qtrly''s-Cntsht Book'!I10</f>
        <v>312.89999999999998</v>
      </c>
      <c r="F8" s="613">
        <f>'Qtrly''s-Cntsht Book'!J10</f>
        <v>320.8</v>
      </c>
      <c r="G8" s="613">
        <f>'Qtrly''s-Cntsht Book'!K10</f>
        <v>308.10000000000002</v>
      </c>
      <c r="H8" s="613">
        <f>'Qtrly''s-Cntsht Book'!N10</f>
        <v>311.8</v>
      </c>
      <c r="I8" s="613">
        <f>'Qtrly''s-Cntsht Book'!O10</f>
        <v>316.3</v>
      </c>
      <c r="J8" s="613">
        <f>'Qtrly''s-Cntsht Book'!P10</f>
        <v>307.7</v>
      </c>
      <c r="K8" s="613">
        <f>'Qtrly''s-Cntsht Book'!S10</f>
        <v>317.8</v>
      </c>
      <c r="L8" s="613">
        <f>'Qtrly''s-Cntsht Book'!T10</f>
        <v>309.10000000000002</v>
      </c>
      <c r="M8" s="613">
        <f>'Qtrly''s-Cntsht Book'!U10</f>
        <v>308</v>
      </c>
      <c r="N8" s="832">
        <f t="shared" si="0"/>
        <v>310.03333333333336</v>
      </c>
      <c r="O8" s="475">
        <f>N8*365</f>
        <v>113162.16666666667</v>
      </c>
      <c r="R8" s="515"/>
      <c r="S8" s="514"/>
      <c r="T8" s="512"/>
      <c r="U8" s="512"/>
      <c r="V8" s="513"/>
    </row>
    <row r="9" spans="1:22" ht="23.45" customHeight="1" x14ac:dyDescent="0.25">
      <c r="A9" s="477" t="s">
        <v>15</v>
      </c>
      <c r="B9" s="185">
        <f>'Qtrly''s-Cntsht Book'!D11</f>
        <v>46.5</v>
      </c>
      <c r="C9" s="185">
        <f>'Qtrly''s-Cntsht Book'!E11</f>
        <v>39</v>
      </c>
      <c r="D9" s="185">
        <f>'Qtrly''s-Cntsht Book'!F11</f>
        <v>45.6</v>
      </c>
      <c r="E9" s="613">
        <f>'Qtrly''s-Cntsht Book'!I11</f>
        <v>49.6</v>
      </c>
      <c r="F9" s="613">
        <f>'Qtrly''s-Cntsht Book'!J11</f>
        <v>47.8</v>
      </c>
      <c r="G9" s="613">
        <f>'Qtrly''s-Cntsht Book'!K11</f>
        <v>58.2</v>
      </c>
      <c r="H9" s="613">
        <f>'Qtrly''s-Cntsht Book'!N11</f>
        <v>55.3</v>
      </c>
      <c r="I9" s="613">
        <f>'Qtrly''s-Cntsht Book'!O11</f>
        <v>57.2</v>
      </c>
      <c r="J9" s="613">
        <f>'Qtrly''s-Cntsht Book'!P11</f>
        <v>57.8</v>
      </c>
      <c r="K9" s="613">
        <f>'Qtrly''s-Cntsht Book'!S11</f>
        <v>57.2</v>
      </c>
      <c r="L9" s="613">
        <f>'Qtrly''s-Cntsht Book'!T11</f>
        <v>58.2</v>
      </c>
      <c r="M9" s="613">
        <f>'Qtrly''s-Cntsht Book'!U11</f>
        <v>49.7</v>
      </c>
      <c r="N9" s="832">
        <f t="shared" si="0"/>
        <v>51.841666666666676</v>
      </c>
      <c r="O9" s="475">
        <f t="shared" ref="O9:O16" si="1">N9*365</f>
        <v>18922.208333333336</v>
      </c>
      <c r="R9" s="489"/>
      <c r="S9" s="514"/>
      <c r="T9" s="512"/>
      <c r="U9" s="512"/>
      <c r="V9" s="513"/>
    </row>
    <row r="10" spans="1:22" ht="23.45" customHeight="1" x14ac:dyDescent="0.25">
      <c r="A10" s="477" t="s">
        <v>16</v>
      </c>
      <c r="B10" s="185">
        <f>'Qtrly''s-Cntsht Book'!D12</f>
        <v>200.5</v>
      </c>
      <c r="C10" s="185">
        <f>'Qtrly''s-Cntsht Book'!E12</f>
        <v>217.5</v>
      </c>
      <c r="D10" s="185">
        <f>'Qtrly''s-Cntsht Book'!F12</f>
        <v>204.1</v>
      </c>
      <c r="E10" s="613">
        <f>'Qtrly''s-Cntsht Book'!I12</f>
        <v>212.4</v>
      </c>
      <c r="F10" s="613">
        <f>'Qtrly''s-Cntsht Book'!J12</f>
        <v>217</v>
      </c>
      <c r="G10" s="613">
        <f>'Qtrly''s-Cntsht Book'!K12</f>
        <v>206.3</v>
      </c>
      <c r="H10" s="613">
        <f>'Qtrly''s-Cntsht Book'!N12</f>
        <v>197.5</v>
      </c>
      <c r="I10" s="613">
        <f>'Qtrly''s-Cntsht Book'!O12</f>
        <v>196.4</v>
      </c>
      <c r="J10" s="613">
        <f>'Qtrly''s-Cntsht Book'!P12</f>
        <v>202.8</v>
      </c>
      <c r="K10" s="613">
        <f>'Qtrly''s-Cntsht Book'!S12</f>
        <v>209.8</v>
      </c>
      <c r="L10" s="613">
        <f>'Qtrly''s-Cntsht Book'!T12</f>
        <v>223.9</v>
      </c>
      <c r="M10" s="613">
        <f>'Qtrly''s-Cntsht Book'!U12</f>
        <v>213.2</v>
      </c>
      <c r="N10" s="832">
        <f t="shared" si="0"/>
        <v>208.45000000000002</v>
      </c>
      <c r="O10" s="475">
        <f t="shared" si="1"/>
        <v>76084.25</v>
      </c>
      <c r="R10" s="489"/>
      <c r="S10" s="514"/>
      <c r="T10" s="512"/>
      <c r="U10" s="512"/>
      <c r="V10" s="513"/>
    </row>
    <row r="11" spans="1:22" ht="23.45" customHeight="1" x14ac:dyDescent="0.25">
      <c r="A11" s="477" t="s">
        <v>129</v>
      </c>
      <c r="B11" s="185">
        <f>'Qtrly''s-Cntsht Book'!D13</f>
        <v>86.7</v>
      </c>
      <c r="C11" s="185">
        <f>'Qtrly''s-Cntsht Book'!E13</f>
        <v>86.4</v>
      </c>
      <c r="D11" s="185">
        <f>'Qtrly''s-Cntsht Book'!F13</f>
        <v>85.4</v>
      </c>
      <c r="E11" s="613">
        <f>'Qtrly''s-Cntsht Book'!I13</f>
        <v>87.3</v>
      </c>
      <c r="F11" s="613">
        <f>'Qtrly''s-Cntsht Book'!J13</f>
        <v>91.6</v>
      </c>
      <c r="G11" s="613">
        <f>'Qtrly''s-Cntsht Book'!K13</f>
        <v>85.1</v>
      </c>
      <c r="H11" s="613">
        <f>'Qtrly''s-Cntsht Book'!N13</f>
        <v>83.4</v>
      </c>
      <c r="I11" s="613">
        <f>'Qtrly''s-Cntsht Book'!O13</f>
        <v>84.3</v>
      </c>
      <c r="J11" s="613">
        <f>'Qtrly''s-Cntsht Book'!P13</f>
        <v>90.5</v>
      </c>
      <c r="K11" s="613">
        <f>'Qtrly''s-Cntsht Book'!S13</f>
        <v>92.8</v>
      </c>
      <c r="L11" s="613">
        <f>'Qtrly''s-Cntsht Book'!T13</f>
        <v>84.5</v>
      </c>
      <c r="M11" s="613">
        <f>'Qtrly''s-Cntsht Book'!U13</f>
        <v>88.7</v>
      </c>
      <c r="N11" s="832">
        <f t="shared" si="0"/>
        <v>87.22499999999998</v>
      </c>
      <c r="O11" s="475">
        <f t="shared" si="1"/>
        <v>31837.124999999993</v>
      </c>
      <c r="R11" s="489"/>
      <c r="S11" s="514"/>
      <c r="T11" s="512"/>
      <c r="U11" s="512"/>
      <c r="V11" s="513"/>
    </row>
    <row r="12" spans="1:22" ht="23.45" customHeight="1" x14ac:dyDescent="0.25">
      <c r="A12" s="477" t="s">
        <v>18</v>
      </c>
      <c r="B12" s="613">
        <f>'Qtrly''s-Cntsht Book'!D14</f>
        <v>0</v>
      </c>
      <c r="C12" s="613">
        <f>'Qtrly''s-Cntsht Book'!E14</f>
        <v>0</v>
      </c>
      <c r="D12" s="613">
        <f>'Qtrly''s-Cntsht Book'!F14</f>
        <v>0</v>
      </c>
      <c r="E12" s="613">
        <f>'Qtrly''s-Cntsht Book'!I14</f>
        <v>0</v>
      </c>
      <c r="F12" s="613">
        <f>'Qtrly''s-Cntsht Book'!J14</f>
        <v>0</v>
      </c>
      <c r="G12" s="613">
        <f>'Qtrly''s-Cntsht Book'!K14</f>
        <v>0</v>
      </c>
      <c r="H12" s="613">
        <f>'Qtrly''s-Cntsht Book'!N14</f>
        <v>0</v>
      </c>
      <c r="I12" s="613">
        <f>'Qtrly''s-Cntsht Book'!O14</f>
        <v>0</v>
      </c>
      <c r="J12" s="613">
        <f>'Qtrly''s-Cntsht Book'!P14</f>
        <v>0</v>
      </c>
      <c r="K12" s="613">
        <f>'Qtrly''s-Cntsht Book'!S14</f>
        <v>0</v>
      </c>
      <c r="L12" s="613">
        <f>'Qtrly''s-Cntsht Book'!T14</f>
        <v>0</v>
      </c>
      <c r="M12" s="613">
        <f>'Qtrly''s-Cntsht Book'!U14</f>
        <v>0</v>
      </c>
      <c r="N12" s="832">
        <f>SUM(B12:M12)/4</f>
        <v>0</v>
      </c>
      <c r="O12" s="475">
        <f>N12*123</f>
        <v>0</v>
      </c>
      <c r="R12" s="515"/>
      <c r="S12" s="514"/>
      <c r="T12" s="512"/>
      <c r="U12" s="512"/>
      <c r="V12" s="513"/>
    </row>
    <row r="13" spans="1:22" ht="23.45" customHeight="1" x14ac:dyDescent="0.25">
      <c r="A13" s="477" t="s">
        <v>138</v>
      </c>
      <c r="B13" s="185">
        <f>'Qtrly''s-Cntsht Book'!D15</f>
        <v>81.599999999999994</v>
      </c>
      <c r="C13" s="185">
        <f>'Qtrly''s-Cntsht Book'!E15</f>
        <v>91.6</v>
      </c>
      <c r="D13" s="185">
        <f>'Qtrly''s-Cntsht Book'!F15</f>
        <v>86.3</v>
      </c>
      <c r="E13" s="613">
        <f>'Qtrly''s-Cntsht Book'!I15</f>
        <v>81.7</v>
      </c>
      <c r="F13" s="613">
        <f>'Qtrly''s-Cntsht Book'!J15</f>
        <v>87.9</v>
      </c>
      <c r="G13" s="613">
        <f>'Qtrly''s-Cntsht Book'!K15</f>
        <v>84.4</v>
      </c>
      <c r="H13" s="613">
        <f>'Qtrly''s-Cntsht Book'!N15</f>
        <v>79</v>
      </c>
      <c r="I13" s="613">
        <f>'Qtrly''s-Cntsht Book'!O15</f>
        <v>77.400000000000006</v>
      </c>
      <c r="J13" s="613">
        <f>'Qtrly''s-Cntsht Book'!P15</f>
        <v>90.8</v>
      </c>
      <c r="K13" s="613">
        <f>'Qtrly''s-Cntsht Book'!S15</f>
        <v>97.5</v>
      </c>
      <c r="L13" s="613">
        <f>'Qtrly''s-Cntsht Book'!T15</f>
        <v>94.7</v>
      </c>
      <c r="M13" s="613">
        <f>'Qtrly''s-Cntsht Book'!U15</f>
        <v>93.4</v>
      </c>
      <c r="N13" s="832">
        <f t="shared" si="0"/>
        <v>87.191666666666663</v>
      </c>
      <c r="O13" s="475">
        <f t="shared" si="1"/>
        <v>31824.958333333332</v>
      </c>
      <c r="R13" s="489"/>
      <c r="S13" s="516"/>
      <c r="T13" s="512"/>
      <c r="U13" s="512"/>
      <c r="V13" s="513"/>
    </row>
    <row r="14" spans="1:22" ht="23.45" customHeight="1" x14ac:dyDescent="0.25">
      <c r="A14" s="476" t="s">
        <v>19</v>
      </c>
      <c r="B14" s="185">
        <f>'Qtrly''s-Cntsht Book'!D16</f>
        <v>395.9</v>
      </c>
      <c r="C14" s="185">
        <f>'Qtrly''s-Cntsht Book'!E16</f>
        <v>397.8</v>
      </c>
      <c r="D14" s="185">
        <f>'Qtrly''s-Cntsht Book'!F16</f>
        <v>395.5</v>
      </c>
      <c r="E14" s="613">
        <f>'Qtrly''s-Cntsht Book'!I16</f>
        <v>390.9</v>
      </c>
      <c r="F14" s="613">
        <f>'Qtrly''s-Cntsht Book'!J16</f>
        <v>396.5</v>
      </c>
      <c r="G14" s="613">
        <f>'Qtrly''s-Cntsht Book'!K16</f>
        <v>393</v>
      </c>
      <c r="H14" s="613">
        <f>'Qtrly''s-Cntsht Book'!N16</f>
        <v>392.2</v>
      </c>
      <c r="I14" s="613">
        <f>'Qtrly''s-Cntsht Book'!O16</f>
        <v>373.7</v>
      </c>
      <c r="J14" s="613">
        <f>'Qtrly''s-Cntsht Book'!P16</f>
        <v>387.5</v>
      </c>
      <c r="K14" s="613">
        <f>'Qtrly''s-Cntsht Book'!S16</f>
        <v>389.5</v>
      </c>
      <c r="L14" s="613">
        <f>'Qtrly''s-Cntsht Book'!T16</f>
        <v>393.3</v>
      </c>
      <c r="M14" s="613">
        <f>'Qtrly''s-Cntsht Book'!U16</f>
        <v>406.5</v>
      </c>
      <c r="N14" s="832">
        <f t="shared" si="0"/>
        <v>392.69166666666661</v>
      </c>
      <c r="O14" s="475">
        <f t="shared" si="1"/>
        <v>143332.45833333331</v>
      </c>
      <c r="R14" s="489"/>
      <c r="S14" s="514"/>
      <c r="T14" s="512"/>
      <c r="U14" s="512"/>
      <c r="V14" s="513"/>
    </row>
    <row r="15" spans="1:22" ht="23.45" customHeight="1" x14ac:dyDescent="0.25">
      <c r="A15" s="477" t="s">
        <v>25</v>
      </c>
      <c r="B15" s="185">
        <f>'Qtrly''s-Cntsht Book'!D17</f>
        <v>422.7</v>
      </c>
      <c r="C15" s="185">
        <f>'Qtrly''s-Cntsht Book'!E17</f>
        <v>418.1</v>
      </c>
      <c r="D15" s="185">
        <f>'Qtrly''s-Cntsht Book'!F17</f>
        <v>407.9</v>
      </c>
      <c r="E15" s="613">
        <f>'Qtrly''s-Cntsht Book'!I17</f>
        <v>407.7</v>
      </c>
      <c r="F15" s="613">
        <f>'Qtrly''s-Cntsht Book'!J17</f>
        <v>414.20000000000005</v>
      </c>
      <c r="G15" s="613">
        <f>'Qtrly''s-Cntsht Book'!K17</f>
        <v>409.8</v>
      </c>
      <c r="H15" s="613">
        <f>'Qtrly''s-Cntsht Book'!N17</f>
        <v>408.1</v>
      </c>
      <c r="I15" s="613">
        <f>'Qtrly''s-Cntsht Book'!O17</f>
        <v>407.6</v>
      </c>
      <c r="J15" s="613">
        <f>'Qtrly''s-Cntsht Book'!P17</f>
        <v>389.2</v>
      </c>
      <c r="K15" s="613">
        <f>'Qtrly''s-Cntsht Book'!S17</f>
        <v>398.1</v>
      </c>
      <c r="L15" s="613">
        <f>'Qtrly''s-Cntsht Book'!T17</f>
        <v>406.2</v>
      </c>
      <c r="M15" s="613">
        <f>'Qtrly''s-Cntsht Book'!U17</f>
        <v>402.29999999999995</v>
      </c>
      <c r="N15" s="832">
        <f t="shared" si="0"/>
        <v>407.6583333333333</v>
      </c>
      <c r="O15" s="475">
        <f t="shared" si="1"/>
        <v>148795.29166666666</v>
      </c>
      <c r="R15" s="515"/>
      <c r="S15" s="514"/>
      <c r="T15" s="512"/>
      <c r="U15" s="512"/>
      <c r="V15" s="513"/>
    </row>
    <row r="16" spans="1:22" ht="23.45" customHeight="1" x14ac:dyDescent="0.25">
      <c r="A16" s="477" t="s">
        <v>130</v>
      </c>
      <c r="B16" s="185">
        <f>'Qtrly''s-Cntsht Book'!D18</f>
        <v>150.4</v>
      </c>
      <c r="C16" s="185">
        <f>'Qtrly''s-Cntsht Book'!E18</f>
        <v>157.80000000000001</v>
      </c>
      <c r="D16" s="185">
        <f>'Qtrly''s-Cntsht Book'!F18</f>
        <v>156.19999999999999</v>
      </c>
      <c r="E16" s="613">
        <f>'Qtrly''s-Cntsht Book'!I18</f>
        <v>163.80000000000001</v>
      </c>
      <c r="F16" s="613">
        <f>'Qtrly''s-Cntsht Book'!J18</f>
        <v>158.9</v>
      </c>
      <c r="G16" s="613">
        <f>'Qtrly''s-Cntsht Book'!K18</f>
        <v>165.8</v>
      </c>
      <c r="H16" s="613">
        <f>'Qtrly''s-Cntsht Book'!N18</f>
        <v>182</v>
      </c>
      <c r="I16" s="613">
        <f>'Qtrly''s-Cntsht Book'!O18</f>
        <v>177.8</v>
      </c>
      <c r="J16" s="613">
        <f>'Qtrly''s-Cntsht Book'!P18</f>
        <v>170.1</v>
      </c>
      <c r="K16" s="613">
        <f>'Qtrly''s-Cntsht Book'!S18</f>
        <v>169.6</v>
      </c>
      <c r="L16" s="613">
        <f>'Qtrly''s-Cntsht Book'!T18</f>
        <v>167.4</v>
      </c>
      <c r="M16" s="613">
        <f>'Qtrly''s-Cntsht Book'!U18</f>
        <v>170</v>
      </c>
      <c r="N16" s="832">
        <f t="shared" si="0"/>
        <v>165.81666666666666</v>
      </c>
      <c r="O16" s="475">
        <f t="shared" si="1"/>
        <v>60523.083333333328</v>
      </c>
      <c r="R16" s="489"/>
      <c r="S16" s="514"/>
      <c r="T16" s="512"/>
      <c r="U16" s="512"/>
      <c r="V16" s="513"/>
    </row>
    <row r="17" spans="1:22" ht="23.45" customHeight="1" thickBot="1" x14ac:dyDescent="0.3">
      <c r="A17" s="477" t="s">
        <v>131</v>
      </c>
      <c r="B17" s="833">
        <f>'Qtrly''s-Cntsht Book'!D49</f>
        <v>0</v>
      </c>
      <c r="C17" s="833">
        <f>'Qtrly''s-Cntsht Book'!E49</f>
        <v>0</v>
      </c>
      <c r="D17" s="833">
        <f>'Qtrly''s-Cntsht Book'!F49</f>
        <v>0</v>
      </c>
      <c r="E17" s="833">
        <f>'Qtrly''s-Cntsht Book'!I49</f>
        <v>0</v>
      </c>
      <c r="F17" s="833">
        <f>'Qtrly''s-Cntsht Book'!J49</f>
        <v>0</v>
      </c>
      <c r="G17" s="833">
        <f>'Qtrly''s-Cntsht Book'!K49</f>
        <v>0</v>
      </c>
      <c r="H17" s="833">
        <f>'Qtrly''s-Cntsht Book'!N49</f>
        <v>0</v>
      </c>
      <c r="I17" s="833">
        <f>'Qtrly''s-Cntsht Book'!O49</f>
        <v>0</v>
      </c>
      <c r="J17" s="833">
        <f>'Qtrly''s-Cntsht Book'!P49</f>
        <v>0</v>
      </c>
      <c r="K17" s="833" t="str">
        <f>'Qtrly''s-Cntsht Book'!S49</f>
        <v>-</v>
      </c>
      <c r="L17" s="833" t="str">
        <f>'Qtrly''s-Cntsht Book'!T49</f>
        <v>-</v>
      </c>
      <c r="M17" s="833" t="str">
        <f>'Qtrly''s-Cntsht Book'!U49</f>
        <v>-</v>
      </c>
      <c r="N17" s="834">
        <f t="shared" si="0"/>
        <v>0</v>
      </c>
      <c r="O17" s="475">
        <f>N17*365</f>
        <v>0</v>
      </c>
      <c r="R17" s="489"/>
      <c r="S17" s="517"/>
      <c r="T17" s="512"/>
      <c r="U17" s="512"/>
      <c r="V17" s="518"/>
    </row>
    <row r="18" spans="1:22" ht="23.45" customHeight="1" thickBot="1" x14ac:dyDescent="0.3">
      <c r="A18" s="609" t="s">
        <v>139</v>
      </c>
      <c r="B18" s="664">
        <f>SUM(B4:B17)</f>
        <v>4258</v>
      </c>
      <c r="C18" s="664">
        <f t="shared" ref="C18:L18" si="2">SUM(C4:C17)</f>
        <v>4283.1000000000004</v>
      </c>
      <c r="D18" s="664">
        <f t="shared" si="2"/>
        <v>4308.5</v>
      </c>
      <c r="E18" s="664">
        <f t="shared" si="2"/>
        <v>4364.3</v>
      </c>
      <c r="F18" s="664">
        <f t="shared" si="2"/>
        <v>4332.5</v>
      </c>
      <c r="G18" s="664">
        <f t="shared" si="2"/>
        <v>4310.8999999999996</v>
      </c>
      <c r="H18" s="664">
        <f t="shared" si="2"/>
        <v>4307.9000000000005</v>
      </c>
      <c r="I18" s="664">
        <f t="shared" si="2"/>
        <v>4302.9000000000005</v>
      </c>
      <c r="J18" s="664">
        <f t="shared" si="2"/>
        <v>4256</v>
      </c>
      <c r="K18" s="664">
        <f t="shared" si="2"/>
        <v>4261.6000000000004</v>
      </c>
      <c r="L18" s="664">
        <f t="shared" si="2"/>
        <v>4230.0999999999995</v>
      </c>
      <c r="M18" s="664">
        <f>SUM(M4:M17)</f>
        <v>4248.4999999999991</v>
      </c>
      <c r="N18" s="831">
        <f>SUM(B18:M18)/12</f>
        <v>4288.6916666666666</v>
      </c>
      <c r="O18" s="610">
        <f>SUM(O4:O17)</f>
        <v>1565372.4583333333</v>
      </c>
    </row>
    <row r="19" spans="1:22" ht="31.9" customHeight="1" thickBot="1" x14ac:dyDescent="0.3">
      <c r="A19" s="652" t="s">
        <v>140</v>
      </c>
      <c r="B19" s="653"/>
      <c r="C19" s="653"/>
      <c r="D19" s="653"/>
      <c r="E19" s="653"/>
      <c r="F19" s="654"/>
      <c r="G19" s="653"/>
      <c r="H19" s="653"/>
      <c r="I19" s="653"/>
      <c r="J19" s="653"/>
      <c r="K19" s="653"/>
      <c r="L19" s="653"/>
      <c r="M19" s="653"/>
      <c r="N19" s="655"/>
      <c r="O19" s="656" t="s">
        <v>0</v>
      </c>
    </row>
    <row r="20" spans="1:22" ht="23.45" customHeight="1" x14ac:dyDescent="0.25">
      <c r="A20" s="476" t="s">
        <v>132</v>
      </c>
      <c r="B20" s="479">
        <f>'Qtrly''s-Cntsht Book'!D22</f>
        <v>369.55</v>
      </c>
      <c r="C20" s="479">
        <f>'Qtrly''s-Cntsht Book'!E22</f>
        <v>363.84</v>
      </c>
      <c r="D20" s="479">
        <f>'Qtrly''s-Cntsht Book'!F22</f>
        <v>360.67</v>
      </c>
      <c r="E20" s="479">
        <f>'Qtrly''s-Cntsht Book'!I22</f>
        <v>343.19</v>
      </c>
      <c r="F20" s="479">
        <f>'Qtrly''s-Cntsht Book'!J22</f>
        <v>316.89999999999998</v>
      </c>
      <c r="G20" s="479">
        <f>'Qtrly''s-Cntsht Book'!K22</f>
        <v>295.35000000000002</v>
      </c>
      <c r="H20" s="479">
        <f>'Qtrly''s-Cntsht Book'!N22</f>
        <v>265.35000000000002</v>
      </c>
      <c r="I20" s="479">
        <f>'Qtrly''s-Cntsht Book'!O22</f>
        <v>317.61</v>
      </c>
      <c r="J20" s="479">
        <f>'Qtrly''s-Cntsht Book'!P22</f>
        <v>322.52</v>
      </c>
      <c r="K20" s="479">
        <f>'Qtrly''s-Cntsht Book'!S22</f>
        <v>304.60000000000002</v>
      </c>
      <c r="L20" s="479">
        <f>'Qtrly''s-Cntsht Book'!T22</f>
        <v>286.19</v>
      </c>
      <c r="M20" s="479">
        <f>'Qtrly''s-Cntsht Book'!U22</f>
        <v>286.19</v>
      </c>
      <c r="N20" s="474">
        <f t="shared" ref="N20:N25" si="3">SUM(B20:M20)/12</f>
        <v>319.33</v>
      </c>
      <c r="O20" s="475">
        <f t="shared" ref="O20:O25" si="4">N20*365</f>
        <v>116555.45</v>
      </c>
    </row>
    <row r="21" spans="1:22" ht="23.45" customHeight="1" x14ac:dyDescent="0.25">
      <c r="A21" s="477" t="s">
        <v>133</v>
      </c>
      <c r="B21" s="479">
        <f>'Qtrly''s-Cntsht Book'!D23</f>
        <v>11.870000000000001</v>
      </c>
      <c r="C21" s="479">
        <f>'Qtrly''s-Cntsht Book'!E23</f>
        <v>11.059999999999999</v>
      </c>
      <c r="D21" s="479">
        <f>'Qtrly''s-Cntsht Book'!F23</f>
        <v>8.17</v>
      </c>
      <c r="E21" s="479">
        <f>'Qtrly''s-Cntsht Book'!I23</f>
        <v>7</v>
      </c>
      <c r="F21" s="479">
        <f>'Qtrly''s-Cntsht Book'!J23</f>
        <v>5.63</v>
      </c>
      <c r="G21" s="479">
        <f>'Qtrly''s-Cntsht Book'!K23</f>
        <v>4</v>
      </c>
      <c r="H21" s="479">
        <f>'Qtrly''s-Cntsht Book'!N23</f>
        <v>4</v>
      </c>
      <c r="I21" s="479">
        <f>'Qtrly''s-Cntsht Book'!O23</f>
        <v>4</v>
      </c>
      <c r="J21" s="479">
        <f>'Qtrly''s-Cntsht Book'!P23</f>
        <v>4</v>
      </c>
      <c r="K21" s="479">
        <f>'Qtrly''s-Cntsht Book'!S23</f>
        <v>2.13</v>
      </c>
      <c r="L21" s="479">
        <f>'Qtrly''s-Cntsht Book'!T23</f>
        <v>0</v>
      </c>
      <c r="M21" s="479">
        <f>'Qtrly''s-Cntsht Book'!U23</f>
        <v>0</v>
      </c>
      <c r="N21" s="474">
        <f t="shared" si="3"/>
        <v>5.1550000000000002</v>
      </c>
      <c r="O21" s="480">
        <f t="shared" si="4"/>
        <v>1881.575</v>
      </c>
    </row>
    <row r="22" spans="1:22" ht="23.45" customHeight="1" x14ac:dyDescent="0.25">
      <c r="A22" s="477" t="s">
        <v>135</v>
      </c>
      <c r="B22" s="479">
        <f>'Qtrly''s-Cntsht Book'!D24</f>
        <v>18.16</v>
      </c>
      <c r="C22" s="479">
        <f>'Qtrly''s-Cntsht Book'!E24</f>
        <v>21.29</v>
      </c>
      <c r="D22" s="479">
        <f>'Qtrly''s-Cntsht Book'!F24</f>
        <v>23.03</v>
      </c>
      <c r="E22" s="479">
        <f>'Qtrly''s-Cntsht Book'!I24</f>
        <v>25.32</v>
      </c>
      <c r="F22" s="479">
        <f>'Qtrly''s-Cntsht Book'!J24</f>
        <v>21.13</v>
      </c>
      <c r="G22" s="479">
        <f>'Qtrly''s-Cntsht Book'!K24</f>
        <v>18</v>
      </c>
      <c r="H22" s="479">
        <f>'Qtrly''s-Cntsht Book'!N24</f>
        <v>20.350000000000001</v>
      </c>
      <c r="I22" s="479">
        <f>'Qtrly''s-Cntsht Book'!O24</f>
        <v>25.43</v>
      </c>
      <c r="J22" s="479">
        <f>'Qtrly''s-Cntsht Book'!P24</f>
        <v>22.09</v>
      </c>
      <c r="K22" s="479">
        <f>'Qtrly''s-Cntsht Book'!S24</f>
        <v>19.3</v>
      </c>
      <c r="L22" s="479">
        <f>'Qtrly''s-Cntsht Book'!T24</f>
        <v>18</v>
      </c>
      <c r="M22" s="479">
        <f>'Qtrly''s-Cntsht Book'!U24</f>
        <v>18.03</v>
      </c>
      <c r="N22" s="474">
        <f t="shared" si="3"/>
        <v>20.84416666666667</v>
      </c>
      <c r="O22" s="480">
        <f t="shared" si="4"/>
        <v>7608.1208333333343</v>
      </c>
    </row>
    <row r="23" spans="1:22" ht="23.45" customHeight="1" x14ac:dyDescent="0.25">
      <c r="A23" s="477" t="s">
        <v>134</v>
      </c>
      <c r="B23" s="479">
        <f>'Qtrly''s-Cntsht Book'!D25</f>
        <v>258</v>
      </c>
      <c r="C23" s="479">
        <f>'Qtrly''s-Cntsht Book'!E25</f>
        <v>236</v>
      </c>
      <c r="D23" s="479">
        <f>'Qtrly''s-Cntsht Book'!F25</f>
        <v>229</v>
      </c>
      <c r="E23" s="479">
        <f>'Qtrly''s-Cntsht Book'!I25</f>
        <v>226</v>
      </c>
      <c r="F23" s="479">
        <f>'Qtrly''s-Cntsht Book'!J25</f>
        <v>222</v>
      </c>
      <c r="G23" s="479">
        <f>'Qtrly''s-Cntsht Book'!K25</f>
        <v>212</v>
      </c>
      <c r="H23" s="479">
        <f>'Qtrly''s-Cntsht Book'!N25</f>
        <v>204</v>
      </c>
      <c r="I23" s="479">
        <f>'Qtrly''s-Cntsht Book'!O25</f>
        <v>196</v>
      </c>
      <c r="J23" s="479">
        <f>'Qtrly''s-Cntsht Book'!P25</f>
        <v>199</v>
      </c>
      <c r="K23" s="479">
        <f>'Qtrly''s-Cntsht Book'!S25</f>
        <v>203</v>
      </c>
      <c r="L23" s="479">
        <f>'Qtrly''s-Cntsht Book'!T25</f>
        <v>212</v>
      </c>
      <c r="M23" s="479">
        <f>'Qtrly''s-Cntsht Book'!U25</f>
        <v>212</v>
      </c>
      <c r="N23" s="474">
        <f t="shared" si="3"/>
        <v>217.41666666666666</v>
      </c>
      <c r="O23" s="480">
        <f t="shared" si="4"/>
        <v>79357.083333333328</v>
      </c>
    </row>
    <row r="24" spans="1:22" ht="23.45" customHeight="1" x14ac:dyDescent="0.25">
      <c r="A24" s="477" t="s">
        <v>339</v>
      </c>
      <c r="B24" s="479" t="str">
        <f>'Qtrly''s-Cntsht Book'!D26</f>
        <v>N/A</v>
      </c>
      <c r="C24" s="479" t="str">
        <f>'Qtrly''s-Cntsht Book'!E26</f>
        <v>N/A</v>
      </c>
      <c r="D24" s="479" t="str">
        <f>'Qtrly''s-Cntsht Book'!F26</f>
        <v>N/A</v>
      </c>
      <c r="E24" s="479" t="str">
        <f>'Qtrly''s-Cntsht Book'!I26</f>
        <v>N/A</v>
      </c>
      <c r="F24" s="479" t="str">
        <f>'Qtrly''s-Cntsht Book'!J26</f>
        <v>N/A</v>
      </c>
      <c r="G24" s="479" t="str">
        <f>'Qtrly''s-Cntsht Book'!K26</f>
        <v>N/A</v>
      </c>
      <c r="H24" s="479" t="str">
        <f>'Qtrly''s-Cntsht Book'!N26</f>
        <v>N/A</v>
      </c>
      <c r="I24" s="479" t="str">
        <f>'Qtrly''s-Cntsht Book'!O26</f>
        <v>N/A</v>
      </c>
      <c r="J24" s="479" t="str">
        <f>'Qtrly''s-Cntsht Book'!P26</f>
        <v>N/A</v>
      </c>
      <c r="K24" s="479" t="str">
        <f>'Qtrly''s-Cntsht Book'!S26</f>
        <v>N/A</v>
      </c>
      <c r="L24" s="479" t="str">
        <f>'Qtrly''s-Cntsht Book'!T26</f>
        <v>N/A</v>
      </c>
      <c r="M24" s="479" t="str">
        <f>'Qtrly''s-Cntsht Book'!U26</f>
        <v>N/A</v>
      </c>
      <c r="N24" s="474">
        <f>SUM(B24:M24)/3</f>
        <v>0</v>
      </c>
      <c r="O24" s="480">
        <f t="shared" si="4"/>
        <v>0</v>
      </c>
    </row>
    <row r="25" spans="1:22" ht="23.45" customHeight="1" thickBot="1" x14ac:dyDescent="0.3">
      <c r="A25" s="477" t="s">
        <v>137</v>
      </c>
      <c r="B25" s="479">
        <f>'Qtrly''s-Cntsht Book'!D27</f>
        <v>9</v>
      </c>
      <c r="C25" s="479">
        <f>'Qtrly''s-Cntsht Book'!E27</f>
        <v>10</v>
      </c>
      <c r="D25" s="479">
        <f>'Qtrly''s-Cntsht Book'!F27</f>
        <v>11</v>
      </c>
      <c r="E25" s="479">
        <f>'Qtrly''s-Cntsht Book'!I27</f>
        <v>11</v>
      </c>
      <c r="F25" s="479">
        <f>'Qtrly''s-Cntsht Book'!J27</f>
        <v>11</v>
      </c>
      <c r="G25" s="479">
        <f>'Qtrly''s-Cntsht Book'!K27</f>
        <v>11</v>
      </c>
      <c r="H25" s="479">
        <f>'Qtrly''s-Cntsht Book'!N27</f>
        <v>11</v>
      </c>
      <c r="I25" s="479">
        <f>'Qtrly''s-Cntsht Book'!O27</f>
        <v>11</v>
      </c>
      <c r="J25" s="479">
        <f>'Qtrly''s-Cntsht Book'!P27</f>
        <v>11</v>
      </c>
      <c r="K25" s="479">
        <f>'Qtrly''s-Cntsht Book'!S27</f>
        <v>11</v>
      </c>
      <c r="L25" s="479">
        <f>'Qtrly''s-Cntsht Book'!T27</f>
        <v>11</v>
      </c>
      <c r="M25" s="479">
        <f>'Qtrly''s-Cntsht Book'!U27</f>
        <v>11</v>
      </c>
      <c r="N25" s="474">
        <f t="shared" si="3"/>
        <v>10.75</v>
      </c>
      <c r="O25" s="480">
        <f t="shared" si="4"/>
        <v>3923.75</v>
      </c>
    </row>
    <row r="26" spans="1:22" ht="23.45" customHeight="1" thickBot="1" x14ac:dyDescent="0.3">
      <c r="A26" s="611" t="s">
        <v>141</v>
      </c>
      <c r="B26" s="612">
        <f>SUM(B20:B25)</f>
        <v>666.58</v>
      </c>
      <c r="C26" s="612">
        <f>SUM(C20:C25)</f>
        <v>642.19000000000005</v>
      </c>
      <c r="D26" s="612">
        <f t="shared" ref="D26:M26" si="5">SUM(D20:D25)</f>
        <v>631.87</v>
      </c>
      <c r="E26" s="612">
        <f t="shared" si="5"/>
        <v>612.51</v>
      </c>
      <c r="F26" s="612">
        <f t="shared" si="5"/>
        <v>576.66</v>
      </c>
      <c r="G26" s="612">
        <f t="shared" si="5"/>
        <v>540.35</v>
      </c>
      <c r="H26" s="612">
        <f t="shared" si="5"/>
        <v>504.70000000000005</v>
      </c>
      <c r="I26" s="612">
        <f t="shared" si="5"/>
        <v>554.04</v>
      </c>
      <c r="J26" s="612">
        <f t="shared" si="5"/>
        <v>558.6099999999999</v>
      </c>
      <c r="K26" s="612">
        <f t="shared" si="5"/>
        <v>540.03</v>
      </c>
      <c r="L26" s="612">
        <f t="shared" si="5"/>
        <v>527.19000000000005</v>
      </c>
      <c r="M26" s="612">
        <f t="shared" si="5"/>
        <v>527.22</v>
      </c>
      <c r="N26" s="610">
        <f>SUM(N20:N25)</f>
        <v>573.49583333333328</v>
      </c>
      <c r="O26" s="610">
        <f>SUM(O20:O25)</f>
        <v>209325.97916666666</v>
      </c>
    </row>
    <row r="27" spans="1:22" ht="28.15" customHeight="1" thickBot="1" x14ac:dyDescent="0.3">
      <c r="A27" s="657" t="s">
        <v>145</v>
      </c>
      <c r="B27" s="658">
        <f>B18+B26</f>
        <v>4924.58</v>
      </c>
      <c r="C27" s="658">
        <f t="shared" ref="C27:L27" si="6">C18+C26</f>
        <v>4925.2900000000009</v>
      </c>
      <c r="D27" s="658">
        <f t="shared" si="6"/>
        <v>4940.37</v>
      </c>
      <c r="E27" s="658">
        <f t="shared" si="6"/>
        <v>4976.8100000000004</v>
      </c>
      <c r="F27" s="658">
        <f t="shared" si="6"/>
        <v>4909.16</v>
      </c>
      <c r="G27" s="658">
        <f t="shared" si="6"/>
        <v>4851.25</v>
      </c>
      <c r="H27" s="658">
        <f t="shared" si="6"/>
        <v>4812.6000000000004</v>
      </c>
      <c r="I27" s="658">
        <f t="shared" si="6"/>
        <v>4856.9400000000005</v>
      </c>
      <c r="J27" s="658">
        <f t="shared" si="6"/>
        <v>4814.6099999999997</v>
      </c>
      <c r="K27" s="658">
        <f t="shared" si="6"/>
        <v>4801.63</v>
      </c>
      <c r="L27" s="658">
        <f t="shared" si="6"/>
        <v>4757.2899999999991</v>
      </c>
      <c r="M27" s="658">
        <f>M18+M26</f>
        <v>4775.7199999999993</v>
      </c>
      <c r="N27" s="659">
        <f>SUM(B27:M27)/12</f>
        <v>4862.1875000000009</v>
      </c>
      <c r="O27" s="660">
        <f>O18+O26</f>
        <v>1774698.4375</v>
      </c>
    </row>
    <row r="29" spans="1:22" x14ac:dyDescent="0.2">
      <c r="A29" s="323"/>
    </row>
    <row r="31" spans="1:22" ht="15" customHeight="1" x14ac:dyDescent="0.2"/>
    <row r="32" spans="1:22" ht="15.75" x14ac:dyDescent="0.25">
      <c r="A32" s="194"/>
    </row>
    <row r="33" spans="1:1" ht="15" x14ac:dyDescent="0.25">
      <c r="A33" s="211" t="s">
        <v>856</v>
      </c>
    </row>
  </sheetData>
  <mergeCells count="3">
    <mergeCell ref="B2:M2"/>
    <mergeCell ref="N2:N3"/>
    <mergeCell ref="O2:O3"/>
  </mergeCells>
  <phoneticPr fontId="21" type="noConversion"/>
  <printOptions horizontalCentered="1" verticalCentered="1"/>
  <pageMargins left="0.75" right="0.75" top="0.97" bottom="1" header="0.33" footer="0.5"/>
  <pageSetup scale="62" orientation="landscape" r:id="rId1"/>
  <headerFooter alignWithMargins="0">
    <oddHeader>&amp;C&amp;"Arial,Bold"&amp;12DEPARTMENT OF CORRECTIONS
 COST OF CARE Year 2019
(Based on Fiscal Year 2018 Actuals)</oddHeader>
    <oddFooter>&amp;L&amp;8&amp;F &amp;A&amp;R&amp;8&amp;D &amp;T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2:Q41"/>
  <sheetViews>
    <sheetView showGridLines="0" topLeftCell="A22" zoomScaleNormal="100" workbookViewId="0"/>
  </sheetViews>
  <sheetFormatPr defaultRowHeight="12.75" x14ac:dyDescent="0.2"/>
  <cols>
    <col min="1" max="1" width="11.85546875" customWidth="1"/>
    <col min="2" max="2" width="9.7109375" customWidth="1"/>
    <col min="17" max="17" width="9.140625" bestFit="1" customWidth="1"/>
  </cols>
  <sheetData>
    <row r="2" spans="1:17" x14ac:dyDescent="0.2">
      <c r="A2" s="666" t="s">
        <v>915</v>
      </c>
    </row>
    <row r="3" spans="1:17" ht="4.9000000000000004" customHeight="1" x14ac:dyDescent="0.2">
      <c r="A3" s="666"/>
    </row>
    <row r="4" spans="1:17" s="667" customFormat="1" x14ac:dyDescent="0.2">
      <c r="A4" s="667" t="s">
        <v>477</v>
      </c>
      <c r="B4" s="668">
        <v>4</v>
      </c>
      <c r="C4" s="668">
        <v>6</v>
      </c>
      <c r="D4" s="668">
        <v>7</v>
      </c>
      <c r="E4" s="668">
        <v>8</v>
      </c>
      <c r="F4" s="668">
        <v>6</v>
      </c>
      <c r="G4" s="668">
        <v>7</v>
      </c>
      <c r="H4" s="668">
        <v>22</v>
      </c>
      <c r="I4" s="668">
        <v>12</v>
      </c>
      <c r="J4" s="668">
        <v>9</v>
      </c>
      <c r="K4" s="668">
        <v>12</v>
      </c>
      <c r="L4" s="668">
        <v>14</v>
      </c>
      <c r="M4" s="668">
        <v>15</v>
      </c>
      <c r="N4" s="668">
        <v>10</v>
      </c>
      <c r="O4" s="668">
        <v>13</v>
      </c>
      <c r="P4" s="668">
        <v>12</v>
      </c>
      <c r="Q4" s="669">
        <f>SUM(B4:P4)</f>
        <v>157</v>
      </c>
    </row>
    <row r="5" spans="1:17" s="575" customFormat="1" x14ac:dyDescent="0.2">
      <c r="B5" s="574" t="s">
        <v>478</v>
      </c>
      <c r="C5" s="574" t="s">
        <v>479</v>
      </c>
      <c r="D5" s="574" t="s">
        <v>480</v>
      </c>
      <c r="E5" s="574" t="s">
        <v>481</v>
      </c>
      <c r="F5" s="574" t="s">
        <v>482</v>
      </c>
      <c r="G5" s="574" t="s">
        <v>483</v>
      </c>
      <c r="H5" s="574" t="s">
        <v>484</v>
      </c>
      <c r="I5" s="574" t="s">
        <v>485</v>
      </c>
      <c r="J5" s="574" t="s">
        <v>486</v>
      </c>
      <c r="K5" s="574" t="s">
        <v>487</v>
      </c>
      <c r="L5" s="574" t="s">
        <v>488</v>
      </c>
      <c r="M5" s="574" t="s">
        <v>489</v>
      </c>
      <c r="N5" s="574" t="s">
        <v>490</v>
      </c>
      <c r="O5" s="574" t="s">
        <v>491</v>
      </c>
      <c r="P5" s="574" t="s">
        <v>492</v>
      </c>
    </row>
    <row r="6" spans="1:17" x14ac:dyDescent="0.2">
      <c r="A6" t="s">
        <v>493</v>
      </c>
      <c r="B6" s="573">
        <v>12</v>
      </c>
      <c r="C6" s="573">
        <v>5</v>
      </c>
      <c r="D6" s="573">
        <v>34</v>
      </c>
      <c r="E6" s="573">
        <v>77</v>
      </c>
      <c r="F6" s="670">
        <v>5</v>
      </c>
      <c r="G6" s="573">
        <v>35</v>
      </c>
      <c r="H6" s="573">
        <v>50</v>
      </c>
      <c r="I6" s="573">
        <v>93</v>
      </c>
      <c r="J6" s="671">
        <v>58</v>
      </c>
      <c r="K6" s="572">
        <v>8</v>
      </c>
      <c r="L6" s="573">
        <v>31</v>
      </c>
      <c r="M6" s="670">
        <v>56</v>
      </c>
      <c r="N6" s="573">
        <v>12</v>
      </c>
      <c r="O6" s="670">
        <v>24</v>
      </c>
      <c r="P6" s="573">
        <v>8</v>
      </c>
    </row>
    <row r="7" spans="1:17" x14ac:dyDescent="0.2">
      <c r="A7" t="s">
        <v>494</v>
      </c>
      <c r="B7" s="670">
        <v>8</v>
      </c>
      <c r="C7" s="573">
        <v>4</v>
      </c>
      <c r="D7" s="573">
        <v>31</v>
      </c>
      <c r="E7" s="671">
        <v>71</v>
      </c>
      <c r="F7" s="670">
        <v>1</v>
      </c>
      <c r="G7" s="573">
        <v>41</v>
      </c>
      <c r="H7" s="573">
        <v>54</v>
      </c>
      <c r="I7" s="573">
        <v>103</v>
      </c>
      <c r="J7" s="670">
        <v>75</v>
      </c>
      <c r="K7" s="573">
        <v>4</v>
      </c>
      <c r="L7" s="573">
        <v>33</v>
      </c>
      <c r="M7" s="670">
        <v>66</v>
      </c>
      <c r="N7" s="670">
        <v>12</v>
      </c>
      <c r="O7" s="670">
        <v>8</v>
      </c>
      <c r="P7" s="670">
        <v>5</v>
      </c>
    </row>
    <row r="8" spans="1:17" x14ac:dyDescent="0.2">
      <c r="A8" t="s">
        <v>495</v>
      </c>
      <c r="B8" s="573">
        <v>6</v>
      </c>
      <c r="C8" s="671">
        <v>3</v>
      </c>
      <c r="D8" s="670">
        <v>26</v>
      </c>
      <c r="E8" s="573">
        <v>86</v>
      </c>
      <c r="F8" s="573">
        <v>1</v>
      </c>
      <c r="G8" s="670">
        <v>33</v>
      </c>
      <c r="H8" s="670">
        <v>62</v>
      </c>
      <c r="I8" s="670">
        <v>96</v>
      </c>
      <c r="J8" s="670">
        <v>51</v>
      </c>
      <c r="K8" s="670">
        <v>4</v>
      </c>
      <c r="L8" s="670">
        <v>21</v>
      </c>
      <c r="M8" s="573">
        <v>55</v>
      </c>
      <c r="N8" s="573">
        <v>6</v>
      </c>
      <c r="O8" s="670">
        <v>12</v>
      </c>
      <c r="P8" s="670">
        <v>7</v>
      </c>
    </row>
    <row r="9" spans="1:17" x14ac:dyDescent="0.2">
      <c r="A9" t="s">
        <v>496</v>
      </c>
      <c r="B9" s="670">
        <v>1</v>
      </c>
      <c r="C9" s="573">
        <v>0</v>
      </c>
      <c r="D9" s="573">
        <v>31</v>
      </c>
      <c r="E9" s="573">
        <v>54</v>
      </c>
      <c r="F9" s="573">
        <v>5</v>
      </c>
      <c r="G9" s="573">
        <v>39</v>
      </c>
      <c r="H9" s="573">
        <v>48</v>
      </c>
      <c r="I9" s="573">
        <v>77</v>
      </c>
      <c r="J9" s="670">
        <v>50</v>
      </c>
      <c r="K9" s="670">
        <v>3</v>
      </c>
      <c r="L9" s="573">
        <v>22</v>
      </c>
      <c r="M9" s="573">
        <v>44</v>
      </c>
      <c r="N9" s="573">
        <v>9</v>
      </c>
      <c r="O9" s="670">
        <v>8</v>
      </c>
      <c r="P9" s="670">
        <v>5</v>
      </c>
    </row>
    <row r="10" spans="1:17" x14ac:dyDescent="0.2">
      <c r="A10" t="s">
        <v>497</v>
      </c>
      <c r="B10" s="573">
        <v>3</v>
      </c>
      <c r="C10" s="670">
        <v>1</v>
      </c>
      <c r="D10" s="573">
        <v>23</v>
      </c>
      <c r="E10" s="670">
        <v>41</v>
      </c>
      <c r="F10" s="573">
        <v>5</v>
      </c>
      <c r="G10" s="573">
        <v>38</v>
      </c>
      <c r="H10" s="573">
        <v>48</v>
      </c>
      <c r="I10" s="573">
        <v>84</v>
      </c>
      <c r="J10" s="670">
        <v>48</v>
      </c>
      <c r="K10" s="670">
        <v>3</v>
      </c>
      <c r="L10" s="573">
        <v>18</v>
      </c>
      <c r="M10" s="670">
        <v>29</v>
      </c>
      <c r="N10" s="573">
        <v>10</v>
      </c>
      <c r="O10" s="573">
        <v>14</v>
      </c>
      <c r="P10" s="573">
        <v>1</v>
      </c>
    </row>
    <row r="11" spans="1:17" x14ac:dyDescent="0.2">
      <c r="A11" t="s">
        <v>498</v>
      </c>
      <c r="B11" s="573">
        <v>3</v>
      </c>
      <c r="C11" s="670">
        <v>1</v>
      </c>
      <c r="D11" s="573">
        <v>30</v>
      </c>
      <c r="E11" s="670">
        <v>36</v>
      </c>
      <c r="F11" s="573">
        <v>3</v>
      </c>
      <c r="G11" s="573">
        <v>36</v>
      </c>
      <c r="H11" s="573">
        <v>43</v>
      </c>
      <c r="I11" s="572">
        <v>89</v>
      </c>
      <c r="J11" s="670">
        <v>74</v>
      </c>
      <c r="K11" s="670">
        <v>1</v>
      </c>
      <c r="L11" s="573">
        <v>8</v>
      </c>
      <c r="M11" s="670">
        <v>40</v>
      </c>
      <c r="N11" s="573">
        <v>8</v>
      </c>
      <c r="O11" s="573">
        <v>8</v>
      </c>
      <c r="P11" s="670">
        <v>9</v>
      </c>
    </row>
    <row r="12" spans="1:17" x14ac:dyDescent="0.2">
      <c r="A12" t="s">
        <v>499</v>
      </c>
      <c r="B12" s="573">
        <v>5</v>
      </c>
      <c r="C12" s="670">
        <v>2</v>
      </c>
      <c r="D12" s="573">
        <v>29</v>
      </c>
      <c r="E12" s="670">
        <v>35</v>
      </c>
      <c r="F12" s="573">
        <v>7</v>
      </c>
      <c r="G12" s="670">
        <v>28</v>
      </c>
      <c r="H12" s="573">
        <v>36</v>
      </c>
      <c r="I12" s="573">
        <v>70</v>
      </c>
      <c r="J12" s="573">
        <v>53</v>
      </c>
      <c r="K12" s="573">
        <v>3</v>
      </c>
      <c r="L12" s="573">
        <v>9</v>
      </c>
      <c r="M12" s="670">
        <v>63</v>
      </c>
      <c r="N12" s="573">
        <v>8</v>
      </c>
      <c r="O12" s="670">
        <v>10</v>
      </c>
      <c r="P12" s="573">
        <v>11</v>
      </c>
    </row>
    <row r="13" spans="1:17" x14ac:dyDescent="0.2">
      <c r="A13" t="s">
        <v>500</v>
      </c>
      <c r="B13" s="573">
        <v>3</v>
      </c>
      <c r="C13" s="670">
        <v>5</v>
      </c>
      <c r="D13" s="573">
        <v>27</v>
      </c>
      <c r="E13" s="573">
        <v>50</v>
      </c>
      <c r="F13" s="573">
        <v>4</v>
      </c>
      <c r="G13" s="573">
        <v>35</v>
      </c>
      <c r="H13" s="573">
        <v>34</v>
      </c>
      <c r="I13" s="573">
        <v>79</v>
      </c>
      <c r="J13" s="670">
        <v>44</v>
      </c>
      <c r="K13" s="573">
        <v>6</v>
      </c>
      <c r="L13" s="573">
        <v>6</v>
      </c>
      <c r="M13" s="573">
        <v>44</v>
      </c>
      <c r="N13" s="573">
        <v>11</v>
      </c>
      <c r="O13" s="670">
        <v>11</v>
      </c>
      <c r="P13" s="573">
        <v>5</v>
      </c>
    </row>
    <row r="14" spans="1:17" x14ac:dyDescent="0.2">
      <c r="A14" t="s">
        <v>501</v>
      </c>
      <c r="B14" s="573">
        <v>4</v>
      </c>
      <c r="C14" s="573">
        <v>1</v>
      </c>
      <c r="D14" s="573">
        <v>28</v>
      </c>
      <c r="E14" s="573">
        <v>84</v>
      </c>
      <c r="F14" s="670">
        <v>2</v>
      </c>
      <c r="G14" s="573">
        <v>33</v>
      </c>
      <c r="H14" s="573">
        <v>70</v>
      </c>
      <c r="I14" s="573">
        <v>65</v>
      </c>
      <c r="J14" s="670">
        <v>41</v>
      </c>
      <c r="K14" s="573">
        <v>7</v>
      </c>
      <c r="L14" s="573">
        <v>10</v>
      </c>
      <c r="M14" s="573">
        <v>53</v>
      </c>
      <c r="N14" s="573">
        <v>13</v>
      </c>
      <c r="O14" s="573">
        <v>18</v>
      </c>
      <c r="P14" s="573">
        <v>6</v>
      </c>
    </row>
    <row r="15" spans="1:17" x14ac:dyDescent="0.2">
      <c r="A15" t="s">
        <v>502</v>
      </c>
      <c r="B15" s="670">
        <v>3</v>
      </c>
      <c r="C15" s="670">
        <v>4</v>
      </c>
      <c r="D15" s="573">
        <v>24</v>
      </c>
      <c r="E15" s="573">
        <v>25</v>
      </c>
      <c r="F15" s="573">
        <v>1</v>
      </c>
      <c r="G15" s="573">
        <v>29</v>
      </c>
      <c r="H15" s="573">
        <v>52</v>
      </c>
      <c r="I15" s="573">
        <v>91</v>
      </c>
      <c r="J15" s="670">
        <v>53</v>
      </c>
      <c r="K15" s="573">
        <v>3</v>
      </c>
      <c r="L15" s="573">
        <v>12</v>
      </c>
      <c r="M15" s="573">
        <v>58</v>
      </c>
      <c r="N15" s="573">
        <v>9</v>
      </c>
      <c r="O15" s="670">
        <v>13</v>
      </c>
      <c r="P15" s="573">
        <v>10</v>
      </c>
    </row>
    <row r="16" spans="1:17" x14ac:dyDescent="0.2">
      <c r="A16" t="s">
        <v>403</v>
      </c>
      <c r="B16" s="573">
        <v>9</v>
      </c>
      <c r="C16" s="573">
        <v>5</v>
      </c>
      <c r="D16" s="573">
        <v>41</v>
      </c>
      <c r="E16" s="573">
        <v>47</v>
      </c>
      <c r="F16" s="573">
        <v>3</v>
      </c>
      <c r="G16" s="573">
        <v>32</v>
      </c>
      <c r="H16" s="573">
        <v>58</v>
      </c>
      <c r="I16" s="573">
        <v>103</v>
      </c>
      <c r="J16" s="670">
        <v>54</v>
      </c>
      <c r="K16" s="573">
        <v>5</v>
      </c>
      <c r="L16" s="573">
        <v>22</v>
      </c>
      <c r="M16" s="573">
        <v>61</v>
      </c>
      <c r="N16" s="573">
        <v>9</v>
      </c>
      <c r="O16" s="573">
        <v>20</v>
      </c>
      <c r="P16" s="573">
        <v>9</v>
      </c>
    </row>
    <row r="17" spans="1:17" x14ac:dyDescent="0.2">
      <c r="A17" t="s">
        <v>404</v>
      </c>
      <c r="B17" s="670">
        <v>13</v>
      </c>
      <c r="C17" s="670">
        <v>12</v>
      </c>
      <c r="D17" s="573">
        <v>40</v>
      </c>
      <c r="E17" s="670">
        <v>70</v>
      </c>
      <c r="F17" s="573">
        <v>2</v>
      </c>
      <c r="G17" s="573">
        <v>49</v>
      </c>
      <c r="H17" s="670">
        <v>36</v>
      </c>
      <c r="I17" s="573">
        <v>80</v>
      </c>
      <c r="J17" s="670">
        <v>41</v>
      </c>
      <c r="K17" s="670">
        <v>8</v>
      </c>
      <c r="L17" s="573">
        <v>10</v>
      </c>
      <c r="M17" s="670">
        <v>50</v>
      </c>
      <c r="N17" s="573">
        <v>17</v>
      </c>
      <c r="O17" s="573">
        <v>29</v>
      </c>
      <c r="P17" s="573">
        <v>11</v>
      </c>
      <c r="Q17" s="666" t="s">
        <v>503</v>
      </c>
    </row>
    <row r="18" spans="1:17" x14ac:dyDescent="0.2">
      <c r="A18" s="649" t="s">
        <v>26</v>
      </c>
      <c r="B18" s="672">
        <f t="shared" ref="B18:P18" si="0">SUM(B6:B17)</f>
        <v>70</v>
      </c>
      <c r="C18" s="672">
        <f t="shared" si="0"/>
        <v>43</v>
      </c>
      <c r="D18" s="672">
        <f t="shared" si="0"/>
        <v>364</v>
      </c>
      <c r="E18" s="672">
        <f t="shared" si="0"/>
        <v>676</v>
      </c>
      <c r="F18" s="672">
        <f t="shared" si="0"/>
        <v>39</v>
      </c>
      <c r="G18" s="672">
        <f t="shared" si="0"/>
        <v>428</v>
      </c>
      <c r="H18" s="672">
        <f t="shared" si="0"/>
        <v>591</v>
      </c>
      <c r="I18" s="672">
        <f t="shared" si="0"/>
        <v>1030</v>
      </c>
      <c r="J18" s="672">
        <f t="shared" si="0"/>
        <v>642</v>
      </c>
      <c r="K18" s="672">
        <f t="shared" si="0"/>
        <v>55</v>
      </c>
      <c r="L18" s="672">
        <f t="shared" si="0"/>
        <v>202</v>
      </c>
      <c r="M18" s="672">
        <f t="shared" si="0"/>
        <v>619</v>
      </c>
      <c r="N18" s="672">
        <f t="shared" si="0"/>
        <v>124</v>
      </c>
      <c r="O18" s="672">
        <f t="shared" si="0"/>
        <v>175</v>
      </c>
      <c r="P18" s="672">
        <f t="shared" si="0"/>
        <v>87</v>
      </c>
      <c r="Q18" s="666" t="s">
        <v>504</v>
      </c>
    </row>
    <row r="19" spans="1:17" x14ac:dyDescent="0.2">
      <c r="A19" s="649" t="s">
        <v>544</v>
      </c>
      <c r="B19" s="673">
        <f>AVERAGE(B6:B17)</f>
        <v>5.833333333333333</v>
      </c>
      <c r="C19" s="673">
        <f t="shared" ref="C19:P19" si="1">AVERAGE(C6:C17)</f>
        <v>3.5833333333333335</v>
      </c>
      <c r="D19" s="673">
        <f t="shared" si="1"/>
        <v>30.333333333333332</v>
      </c>
      <c r="E19" s="673">
        <f t="shared" si="1"/>
        <v>56.333333333333336</v>
      </c>
      <c r="F19" s="673">
        <f t="shared" si="1"/>
        <v>3.25</v>
      </c>
      <c r="G19" s="673">
        <f t="shared" si="1"/>
        <v>35.666666666666664</v>
      </c>
      <c r="H19" s="673">
        <f t="shared" si="1"/>
        <v>49.25</v>
      </c>
      <c r="I19" s="673">
        <f t="shared" si="1"/>
        <v>85.833333333333329</v>
      </c>
      <c r="J19" s="673">
        <f t="shared" si="1"/>
        <v>53.5</v>
      </c>
      <c r="K19" s="673">
        <f t="shared" si="1"/>
        <v>4.583333333333333</v>
      </c>
      <c r="L19" s="673">
        <f t="shared" si="1"/>
        <v>16.833333333333332</v>
      </c>
      <c r="M19" s="673">
        <f t="shared" si="1"/>
        <v>51.583333333333336</v>
      </c>
      <c r="N19" s="673">
        <f t="shared" si="1"/>
        <v>10.333333333333334</v>
      </c>
      <c r="O19" s="673">
        <f t="shared" si="1"/>
        <v>14.583333333333334</v>
      </c>
      <c r="P19" s="673">
        <f t="shared" si="1"/>
        <v>7.25</v>
      </c>
      <c r="Q19" s="674">
        <f>SUM(B18:P18)</f>
        <v>5145</v>
      </c>
    </row>
    <row r="20" spans="1:17" x14ac:dyDescent="0.2">
      <c r="I20" s="575"/>
    </row>
    <row r="21" spans="1:17" x14ac:dyDescent="0.2">
      <c r="A21" s="666" t="s">
        <v>916</v>
      </c>
    </row>
    <row r="22" spans="1:17" ht="4.9000000000000004" customHeight="1" x14ac:dyDescent="0.2">
      <c r="A22" s="666"/>
    </row>
    <row r="23" spans="1:17" s="667" customFormat="1" x14ac:dyDescent="0.2">
      <c r="A23" s="667" t="s">
        <v>505</v>
      </c>
      <c r="B23" s="675">
        <v>15</v>
      </c>
      <c r="C23" s="675">
        <v>7</v>
      </c>
      <c r="D23" s="675">
        <v>15</v>
      </c>
      <c r="E23" s="675">
        <v>20</v>
      </c>
      <c r="F23" s="675">
        <v>14</v>
      </c>
      <c r="G23" s="675">
        <v>10</v>
      </c>
      <c r="H23" s="675">
        <v>30</v>
      </c>
      <c r="I23" s="675">
        <v>30</v>
      </c>
      <c r="J23" s="675">
        <v>30</v>
      </c>
      <c r="K23" s="675">
        <v>15</v>
      </c>
      <c r="L23" s="675">
        <v>30</v>
      </c>
      <c r="M23" s="675">
        <v>10</v>
      </c>
      <c r="N23" s="675">
        <v>30</v>
      </c>
      <c r="O23" s="675">
        <v>10</v>
      </c>
      <c r="P23" s="675">
        <v>30</v>
      </c>
      <c r="Q23" s="951">
        <f>SUM(B23:O23)</f>
        <v>266</v>
      </c>
    </row>
    <row r="24" spans="1:17" s="575" customFormat="1" x14ac:dyDescent="0.2">
      <c r="B24" s="574" t="s">
        <v>478</v>
      </c>
      <c r="C24" s="574" t="s">
        <v>479</v>
      </c>
      <c r="D24" s="574" t="s">
        <v>480</v>
      </c>
      <c r="E24" s="574" t="s">
        <v>481</v>
      </c>
      <c r="F24" s="574" t="s">
        <v>482</v>
      </c>
      <c r="G24" s="574" t="s">
        <v>483</v>
      </c>
      <c r="H24" s="574" t="s">
        <v>484</v>
      </c>
      <c r="I24" s="574" t="s">
        <v>485</v>
      </c>
      <c r="J24" s="574" t="s">
        <v>486</v>
      </c>
      <c r="K24" s="574" t="s">
        <v>487</v>
      </c>
      <c r="L24" s="574" t="s">
        <v>488</v>
      </c>
      <c r="M24" s="574" t="s">
        <v>489</v>
      </c>
      <c r="N24" s="574" t="s">
        <v>490</v>
      </c>
      <c r="O24" s="574" t="s">
        <v>491</v>
      </c>
      <c r="P24" s="574" t="s">
        <v>492</v>
      </c>
    </row>
    <row r="25" spans="1:17" x14ac:dyDescent="0.2">
      <c r="A25" t="s">
        <v>493</v>
      </c>
      <c r="B25" s="573">
        <v>31</v>
      </c>
      <c r="C25" s="573">
        <v>9.5</v>
      </c>
      <c r="D25" s="573">
        <v>137</v>
      </c>
      <c r="E25" s="573">
        <v>209</v>
      </c>
      <c r="F25" s="573">
        <v>5.5</v>
      </c>
      <c r="G25" s="573">
        <v>46</v>
      </c>
      <c r="H25" s="573">
        <v>314.5</v>
      </c>
      <c r="I25" s="573">
        <v>287.5</v>
      </c>
      <c r="J25" s="573">
        <v>188.5</v>
      </c>
      <c r="K25" s="573">
        <v>25</v>
      </c>
      <c r="L25" s="573">
        <v>67</v>
      </c>
      <c r="M25" s="573">
        <v>218</v>
      </c>
      <c r="N25" s="573">
        <v>39.5</v>
      </c>
      <c r="O25" s="573">
        <v>90.5</v>
      </c>
      <c r="P25" s="573">
        <v>42</v>
      </c>
    </row>
    <row r="26" spans="1:17" x14ac:dyDescent="0.2">
      <c r="A26" t="s">
        <v>494</v>
      </c>
      <c r="B26" s="573">
        <v>28.5</v>
      </c>
      <c r="C26" s="573">
        <v>7.5</v>
      </c>
      <c r="D26" s="573">
        <v>149</v>
      </c>
      <c r="E26" s="573">
        <v>197</v>
      </c>
      <c r="F26" s="573">
        <v>1</v>
      </c>
      <c r="G26" s="573">
        <v>62.5</v>
      </c>
      <c r="H26" s="573">
        <v>326.5</v>
      </c>
      <c r="I26" s="573">
        <v>295.5</v>
      </c>
      <c r="J26" s="573">
        <v>281.5</v>
      </c>
      <c r="K26" s="573">
        <v>9</v>
      </c>
      <c r="L26" s="573">
        <v>58</v>
      </c>
      <c r="M26" s="573">
        <v>251</v>
      </c>
      <c r="N26" s="573">
        <v>42</v>
      </c>
      <c r="O26" s="573">
        <v>68.5</v>
      </c>
      <c r="P26" s="573">
        <v>44</v>
      </c>
    </row>
    <row r="27" spans="1:17" x14ac:dyDescent="0.2">
      <c r="A27" t="s">
        <v>495</v>
      </c>
      <c r="B27" s="573">
        <v>12.5</v>
      </c>
      <c r="C27" s="573">
        <v>2</v>
      </c>
      <c r="D27" s="573">
        <v>166.5</v>
      </c>
      <c r="E27" s="573">
        <v>185</v>
      </c>
      <c r="F27" s="573">
        <v>3</v>
      </c>
      <c r="G27" s="573">
        <v>50</v>
      </c>
      <c r="H27" s="573">
        <v>371.5</v>
      </c>
      <c r="I27" s="573">
        <v>271.5</v>
      </c>
      <c r="J27" s="573">
        <v>321.5</v>
      </c>
      <c r="K27" s="573">
        <v>20</v>
      </c>
      <c r="L27" s="573">
        <v>49</v>
      </c>
      <c r="M27" s="573">
        <v>189</v>
      </c>
      <c r="N27" s="573">
        <v>28.5</v>
      </c>
      <c r="O27" s="573">
        <v>59</v>
      </c>
      <c r="P27" s="573">
        <v>51</v>
      </c>
    </row>
    <row r="28" spans="1:17" x14ac:dyDescent="0.2">
      <c r="A28" t="s">
        <v>496</v>
      </c>
      <c r="B28" s="573">
        <v>1</v>
      </c>
      <c r="C28" s="573">
        <v>0</v>
      </c>
      <c r="D28" s="573">
        <v>117</v>
      </c>
      <c r="E28" s="573">
        <v>133</v>
      </c>
      <c r="F28" s="573">
        <v>1.5</v>
      </c>
      <c r="G28" s="573">
        <v>73</v>
      </c>
      <c r="H28" s="573">
        <v>302</v>
      </c>
      <c r="I28" s="573">
        <v>243</v>
      </c>
      <c r="J28" s="573">
        <v>313.5</v>
      </c>
      <c r="K28" s="573">
        <v>12</v>
      </c>
      <c r="L28" s="573">
        <v>79.5</v>
      </c>
      <c r="M28" s="573">
        <v>133</v>
      </c>
      <c r="N28" s="573">
        <v>10.5</v>
      </c>
      <c r="O28" s="573">
        <v>61</v>
      </c>
      <c r="P28" s="573">
        <v>35</v>
      </c>
    </row>
    <row r="29" spans="1:17" x14ac:dyDescent="0.2">
      <c r="A29" t="s">
        <v>497</v>
      </c>
      <c r="B29" s="573">
        <v>14</v>
      </c>
      <c r="C29" s="573">
        <v>9</v>
      </c>
      <c r="D29" s="573">
        <v>97</v>
      </c>
      <c r="E29" s="573">
        <v>89</v>
      </c>
      <c r="F29" s="573">
        <v>7</v>
      </c>
      <c r="G29" s="573">
        <v>58</v>
      </c>
      <c r="H29" s="573">
        <v>304</v>
      </c>
      <c r="I29" s="573">
        <v>283.5</v>
      </c>
      <c r="J29" s="573">
        <v>311.5</v>
      </c>
      <c r="K29" s="573">
        <v>27</v>
      </c>
      <c r="L29" s="573">
        <v>39</v>
      </c>
      <c r="M29" s="573">
        <v>59.5</v>
      </c>
      <c r="N29" s="573">
        <v>48</v>
      </c>
      <c r="O29" s="573">
        <v>39.5</v>
      </c>
      <c r="P29" s="573">
        <v>10</v>
      </c>
    </row>
    <row r="30" spans="1:17" x14ac:dyDescent="0.2">
      <c r="A30" t="s">
        <v>498</v>
      </c>
      <c r="B30" s="573">
        <v>6</v>
      </c>
      <c r="C30" s="573">
        <v>1.5</v>
      </c>
      <c r="D30" s="573">
        <v>141</v>
      </c>
      <c r="E30" s="573">
        <v>115</v>
      </c>
      <c r="F30" s="573">
        <v>9</v>
      </c>
      <c r="G30" s="573">
        <v>60</v>
      </c>
      <c r="H30" s="573">
        <v>377</v>
      </c>
      <c r="I30" s="571">
        <v>296.5</v>
      </c>
      <c r="J30" s="573">
        <v>316.5</v>
      </c>
      <c r="K30" s="573">
        <v>4</v>
      </c>
      <c r="L30" s="573">
        <v>18</v>
      </c>
      <c r="M30" s="573">
        <v>182.5</v>
      </c>
      <c r="N30" s="573">
        <v>10</v>
      </c>
      <c r="O30" s="573">
        <v>71.5</v>
      </c>
      <c r="P30" s="573">
        <v>12</v>
      </c>
    </row>
    <row r="31" spans="1:17" x14ac:dyDescent="0.2">
      <c r="A31" t="s">
        <v>499</v>
      </c>
      <c r="B31" s="573">
        <v>16</v>
      </c>
      <c r="C31" s="573">
        <v>2</v>
      </c>
      <c r="D31" s="573">
        <v>135</v>
      </c>
      <c r="E31" s="573">
        <v>93</v>
      </c>
      <c r="F31" s="573">
        <v>2</v>
      </c>
      <c r="G31" s="573">
        <v>24</v>
      </c>
      <c r="H31" s="573">
        <v>285</v>
      </c>
      <c r="I31" s="573">
        <v>245.5</v>
      </c>
      <c r="J31" s="573">
        <v>390</v>
      </c>
      <c r="K31" s="573">
        <v>15</v>
      </c>
      <c r="L31" s="573">
        <v>25.5</v>
      </c>
      <c r="M31" s="573">
        <v>265</v>
      </c>
      <c r="N31" s="573">
        <v>29.5</v>
      </c>
      <c r="O31" s="573">
        <v>60.5</v>
      </c>
      <c r="P31" s="573">
        <v>59</v>
      </c>
    </row>
    <row r="32" spans="1:17" x14ac:dyDescent="0.2">
      <c r="A32" t="s">
        <v>500</v>
      </c>
      <c r="B32" s="573">
        <v>10</v>
      </c>
      <c r="C32" s="573">
        <v>13.5</v>
      </c>
      <c r="D32" s="573">
        <v>141.5</v>
      </c>
      <c r="E32" s="670">
        <v>114</v>
      </c>
      <c r="F32" s="573">
        <v>4.5</v>
      </c>
      <c r="G32" s="573">
        <v>51.5</v>
      </c>
      <c r="H32" s="573">
        <v>201</v>
      </c>
      <c r="I32" s="573">
        <v>234</v>
      </c>
      <c r="J32" s="573">
        <v>419.5</v>
      </c>
      <c r="K32" s="573">
        <v>26</v>
      </c>
      <c r="L32" s="573">
        <v>12</v>
      </c>
      <c r="M32" s="573">
        <v>146.5</v>
      </c>
      <c r="N32" s="573">
        <v>24</v>
      </c>
      <c r="O32" s="670">
        <v>34</v>
      </c>
      <c r="P32" s="573">
        <v>27</v>
      </c>
    </row>
    <row r="33" spans="1:17" x14ac:dyDescent="0.2">
      <c r="A33" t="s">
        <v>506</v>
      </c>
      <c r="B33" s="573">
        <v>26</v>
      </c>
      <c r="C33" s="573">
        <v>1</v>
      </c>
      <c r="D33" s="573">
        <v>128.5</v>
      </c>
      <c r="E33" s="573">
        <v>166</v>
      </c>
      <c r="F33" s="573">
        <v>0.5</v>
      </c>
      <c r="G33" s="573">
        <v>49.5</v>
      </c>
      <c r="H33" s="573">
        <v>416</v>
      </c>
      <c r="I33" s="573">
        <v>247</v>
      </c>
      <c r="J33" s="573">
        <v>405</v>
      </c>
      <c r="K33" s="573">
        <v>29</v>
      </c>
      <c r="L33" s="573">
        <v>32</v>
      </c>
      <c r="M33" s="573">
        <v>303</v>
      </c>
      <c r="N33" s="573">
        <v>25.5</v>
      </c>
      <c r="O33" s="573">
        <v>103</v>
      </c>
      <c r="P33" s="573">
        <v>35</v>
      </c>
    </row>
    <row r="34" spans="1:17" x14ac:dyDescent="0.2">
      <c r="A34" t="s">
        <v>507</v>
      </c>
      <c r="B34" s="573">
        <v>4</v>
      </c>
      <c r="C34" s="573">
        <v>6</v>
      </c>
      <c r="D34" s="573">
        <v>122</v>
      </c>
      <c r="E34" s="573">
        <v>70</v>
      </c>
      <c r="F34" s="573">
        <v>0.5</v>
      </c>
      <c r="G34" s="573">
        <v>46</v>
      </c>
      <c r="H34" s="573">
        <v>360.5</v>
      </c>
      <c r="I34" s="573">
        <v>265</v>
      </c>
      <c r="J34" s="573">
        <v>366.5</v>
      </c>
      <c r="K34" s="573">
        <v>24</v>
      </c>
      <c r="L34" s="676">
        <v>32</v>
      </c>
      <c r="M34" s="573">
        <v>311.5</v>
      </c>
      <c r="N34" s="573">
        <v>8</v>
      </c>
      <c r="O34" s="670">
        <v>99</v>
      </c>
      <c r="P34" s="573">
        <v>19</v>
      </c>
    </row>
    <row r="35" spans="1:17" x14ac:dyDescent="0.2">
      <c r="A35" t="s">
        <v>508</v>
      </c>
      <c r="B35" s="573">
        <v>31</v>
      </c>
      <c r="C35" s="573">
        <v>8</v>
      </c>
      <c r="D35" s="573">
        <v>174</v>
      </c>
      <c r="E35" s="573">
        <v>158</v>
      </c>
      <c r="F35" s="573">
        <v>4.5</v>
      </c>
      <c r="G35" s="573">
        <v>31</v>
      </c>
      <c r="H35" s="573">
        <v>319</v>
      </c>
      <c r="I35" s="573">
        <v>282</v>
      </c>
      <c r="J35" s="573">
        <v>402.5</v>
      </c>
      <c r="K35" s="573">
        <v>22</v>
      </c>
      <c r="L35" s="573">
        <v>52.5</v>
      </c>
      <c r="M35" s="573">
        <v>207</v>
      </c>
      <c r="N35" s="573">
        <v>16</v>
      </c>
      <c r="O35" s="573">
        <v>47</v>
      </c>
      <c r="P35" s="573">
        <v>31</v>
      </c>
    </row>
    <row r="36" spans="1:17" x14ac:dyDescent="0.2">
      <c r="A36" t="s">
        <v>404</v>
      </c>
      <c r="B36" s="573">
        <v>30</v>
      </c>
      <c r="C36" s="573">
        <v>21</v>
      </c>
      <c r="D36" s="573">
        <v>151.5</v>
      </c>
      <c r="E36" s="573">
        <v>70</v>
      </c>
      <c r="F36" s="573">
        <v>1</v>
      </c>
      <c r="G36" s="573">
        <v>91.5</v>
      </c>
      <c r="H36" s="573">
        <v>234.5</v>
      </c>
      <c r="I36" s="573">
        <v>249</v>
      </c>
      <c r="J36" s="573">
        <v>300.5</v>
      </c>
      <c r="K36" s="670">
        <v>35</v>
      </c>
      <c r="L36" s="573">
        <v>30.5</v>
      </c>
      <c r="M36" s="573">
        <v>188</v>
      </c>
      <c r="N36" s="573">
        <v>23.5</v>
      </c>
      <c r="O36" s="573">
        <v>82.5</v>
      </c>
      <c r="P36" s="573">
        <v>59</v>
      </c>
      <c r="Q36" s="666" t="s">
        <v>26</v>
      </c>
    </row>
    <row r="37" spans="1:17" x14ac:dyDescent="0.2">
      <c r="A37" s="649" t="s">
        <v>26</v>
      </c>
      <c r="B37" s="672">
        <f t="shared" ref="B37:P37" si="2">SUM(B25:B36)</f>
        <v>210</v>
      </c>
      <c r="C37" s="672">
        <f t="shared" si="2"/>
        <v>81</v>
      </c>
      <c r="D37" s="672">
        <f t="shared" si="2"/>
        <v>1660</v>
      </c>
      <c r="E37" s="672">
        <f t="shared" si="2"/>
        <v>1599</v>
      </c>
      <c r="F37" s="672">
        <f t="shared" si="2"/>
        <v>40</v>
      </c>
      <c r="G37" s="672">
        <f t="shared" si="2"/>
        <v>643</v>
      </c>
      <c r="H37" s="672">
        <f>SUM(H25:H36)</f>
        <v>3811.5</v>
      </c>
      <c r="I37" s="672">
        <f t="shared" si="2"/>
        <v>3200</v>
      </c>
      <c r="J37" s="672">
        <f t="shared" si="2"/>
        <v>4017</v>
      </c>
      <c r="K37" s="672">
        <f t="shared" si="2"/>
        <v>248</v>
      </c>
      <c r="L37" s="672">
        <f t="shared" si="2"/>
        <v>495</v>
      </c>
      <c r="M37" s="672">
        <f t="shared" si="2"/>
        <v>2454</v>
      </c>
      <c r="N37" s="672">
        <f t="shared" si="2"/>
        <v>305</v>
      </c>
      <c r="O37" s="672">
        <f t="shared" si="2"/>
        <v>816</v>
      </c>
      <c r="P37" s="672">
        <f t="shared" si="2"/>
        <v>424</v>
      </c>
      <c r="Q37" s="666" t="s">
        <v>509</v>
      </c>
    </row>
    <row r="38" spans="1:17" x14ac:dyDescent="0.2">
      <c r="A38" s="649" t="s">
        <v>544</v>
      </c>
      <c r="B38" s="650">
        <f>AVERAGE(B25:B36)</f>
        <v>17.5</v>
      </c>
      <c r="C38" s="650">
        <f t="shared" ref="C38:P38" si="3">AVERAGE(C25:C36)</f>
        <v>6.75</v>
      </c>
      <c r="D38" s="650">
        <f t="shared" si="3"/>
        <v>138.33333333333334</v>
      </c>
      <c r="E38" s="650">
        <f t="shared" si="3"/>
        <v>133.25</v>
      </c>
      <c r="F38" s="650">
        <f t="shared" si="3"/>
        <v>3.3333333333333335</v>
      </c>
      <c r="G38" s="650">
        <f t="shared" si="3"/>
        <v>53.583333333333336</v>
      </c>
      <c r="H38" s="650">
        <f t="shared" si="3"/>
        <v>317.625</v>
      </c>
      <c r="I38" s="650">
        <f t="shared" si="3"/>
        <v>266.66666666666669</v>
      </c>
      <c r="J38" s="650">
        <f t="shared" si="3"/>
        <v>334.75</v>
      </c>
      <c r="K38" s="650">
        <f t="shared" si="3"/>
        <v>20.666666666666668</v>
      </c>
      <c r="L38" s="650">
        <f t="shared" si="3"/>
        <v>41.25</v>
      </c>
      <c r="M38" s="650">
        <f t="shared" si="3"/>
        <v>204.5</v>
      </c>
      <c r="N38" s="650">
        <f t="shared" si="3"/>
        <v>25.416666666666668</v>
      </c>
      <c r="O38" s="650">
        <f t="shared" si="3"/>
        <v>68</v>
      </c>
      <c r="P38" s="650">
        <f t="shared" si="3"/>
        <v>35.333333333333336</v>
      </c>
      <c r="Q38" s="677">
        <f>SUM(B37:P37)</f>
        <v>20003.5</v>
      </c>
    </row>
    <row r="40" spans="1:17" x14ac:dyDescent="0.2">
      <c r="A40" s="570" t="s">
        <v>917</v>
      </c>
      <c r="B40">
        <f>Q38/365</f>
        <v>54.804109589041097</v>
      </c>
    </row>
    <row r="41" spans="1:17" ht="15.75" x14ac:dyDescent="0.25">
      <c r="A41" s="198" t="s">
        <v>918</v>
      </c>
      <c r="H41" s="952">
        <f>B40</f>
        <v>54.804109589041097</v>
      </c>
    </row>
  </sheetData>
  <phoneticPr fontId="72" type="noConversion"/>
  <pageMargins left="0" right="0" top="0.75" bottom="0.25" header="0.3" footer="0.3"/>
  <pageSetup scale="88" orientation="landscape" r:id="rId1"/>
  <headerFooter>
    <oddHeader>&amp;C&amp;"Arial,Bold"&amp;12COST OF CARE Year 2019
(Based on Fiscal Year 2018 Actuals)</oddHeader>
    <oddFooter>&amp;L&amp;8&amp;F&amp;A&amp;R&amp;8&amp;D &amp; &amp;T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sheetPr>
  <dimension ref="A1:J98"/>
  <sheetViews>
    <sheetView showGridLines="0" topLeftCell="A4" workbookViewId="0">
      <selection activeCell="B11" sqref="B11"/>
    </sheetView>
  </sheetViews>
  <sheetFormatPr defaultColWidth="9.140625" defaultRowHeight="15" x14ac:dyDescent="0.25"/>
  <cols>
    <col min="1" max="1" width="27.42578125" style="205" customWidth="1"/>
    <col min="2" max="2" width="11.7109375" style="205" customWidth="1"/>
    <col min="3" max="3" width="10.28515625" style="205" customWidth="1"/>
    <col min="4" max="4" width="10.42578125" style="205" customWidth="1"/>
    <col min="5" max="5" width="9.5703125" style="205" customWidth="1"/>
    <col min="6" max="6" width="6.85546875" style="205" hidden="1" customWidth="1"/>
    <col min="7" max="7" width="0.28515625" style="205" hidden="1" customWidth="1"/>
    <col min="8" max="8" width="11.85546875" style="205" customWidth="1"/>
    <col min="9" max="9" width="6.140625" style="205" customWidth="1"/>
    <col min="10" max="10" width="8.7109375" style="205" customWidth="1"/>
    <col min="11" max="11" width="1.7109375" style="205" customWidth="1"/>
    <col min="12" max="12" width="7.140625" style="205" customWidth="1"/>
    <col min="13" max="13" width="6.42578125" style="205" customWidth="1"/>
    <col min="14" max="14" width="5.7109375" style="205" customWidth="1"/>
    <col min="15" max="15" width="8.140625" style="205" customWidth="1"/>
    <col min="16" max="16" width="14.85546875" style="205" customWidth="1"/>
    <col min="17" max="16384" width="9.140625" style="205"/>
  </cols>
  <sheetData>
    <row r="1" spans="1:10" customFormat="1" ht="18" customHeight="1" x14ac:dyDescent="0.2">
      <c r="A1" s="1038" t="s">
        <v>904</v>
      </c>
      <c r="B1" s="1038"/>
      <c r="C1" s="1038"/>
      <c r="D1" s="1038"/>
      <c r="E1" s="1038"/>
      <c r="F1" s="1038"/>
      <c r="G1" s="1038"/>
      <c r="H1" s="1038"/>
      <c r="I1" s="932"/>
    </row>
    <row r="2" spans="1:10" customFormat="1" ht="4.9000000000000004" customHeight="1" thickBot="1" x14ac:dyDescent="0.25">
      <c r="A2" s="575"/>
    </row>
    <row r="3" spans="1:10" customFormat="1" ht="43.9" customHeight="1" thickBot="1" x14ac:dyDescent="0.25">
      <c r="A3" s="933" t="s">
        <v>787</v>
      </c>
      <c r="B3" s="934" t="s">
        <v>905</v>
      </c>
      <c r="C3" s="934" t="s">
        <v>906</v>
      </c>
      <c r="D3" s="934" t="s">
        <v>907</v>
      </c>
      <c r="E3" s="934" t="s">
        <v>908</v>
      </c>
      <c r="F3" s="934" t="s">
        <v>909</v>
      </c>
      <c r="G3" s="934" t="s">
        <v>910</v>
      </c>
      <c r="H3" s="935" t="s">
        <v>911</v>
      </c>
      <c r="I3" s="936"/>
    </row>
    <row r="4" spans="1:10" customFormat="1" ht="12.75" x14ac:dyDescent="0.2">
      <c r="A4" s="937" t="s">
        <v>538</v>
      </c>
      <c r="B4" s="938">
        <v>1.0296000000000001</v>
      </c>
      <c r="C4" s="938">
        <v>89.015000000000001</v>
      </c>
      <c r="D4" s="938">
        <v>1.72E-2</v>
      </c>
      <c r="E4" s="938">
        <v>5.9725000000000001</v>
      </c>
      <c r="F4" s="938">
        <v>1.0200000000000001E-2</v>
      </c>
      <c r="G4" s="938">
        <v>6.1769999999999996</v>
      </c>
      <c r="H4" s="939">
        <f>SUM(B4:G4)</f>
        <v>102.22149999999999</v>
      </c>
      <c r="I4" s="940"/>
    </row>
    <row r="5" spans="1:10" customFormat="1" ht="12.75" x14ac:dyDescent="0.2">
      <c r="A5" s="941" t="s">
        <v>539</v>
      </c>
      <c r="B5" s="942">
        <v>0.87339999999999995</v>
      </c>
      <c r="C5" s="942">
        <v>26.516999999999999</v>
      </c>
      <c r="D5" s="942">
        <v>0</v>
      </c>
      <c r="E5" s="942">
        <v>0</v>
      </c>
      <c r="F5" s="942">
        <v>0</v>
      </c>
      <c r="G5" s="942">
        <v>0</v>
      </c>
      <c r="H5" s="939">
        <f t="shared" ref="H5:H18" si="0">SUM(B5:G5)</f>
        <v>27.3904</v>
      </c>
      <c r="I5" s="940"/>
    </row>
    <row r="6" spans="1:10" customFormat="1" ht="12.75" x14ac:dyDescent="0.2">
      <c r="A6" s="941" t="s">
        <v>351</v>
      </c>
      <c r="B6" s="942">
        <v>1.9988999999999999</v>
      </c>
      <c r="C6" s="942">
        <v>12.134</v>
      </c>
      <c r="D6" s="942">
        <v>0.24110000000000001</v>
      </c>
      <c r="E6" s="942">
        <v>2.7847</v>
      </c>
      <c r="F6" s="942">
        <v>2.7300000000000001E-2</v>
      </c>
      <c r="G6" s="942">
        <v>7.359</v>
      </c>
      <c r="H6" s="939">
        <f>SUM(B6:G6)</f>
        <v>24.545000000000002</v>
      </c>
      <c r="I6" s="940"/>
    </row>
    <row r="7" spans="1:10" customFormat="1" ht="12.75" x14ac:dyDescent="0.2">
      <c r="A7" s="941" t="s">
        <v>352</v>
      </c>
      <c r="B7" s="942">
        <v>1.4193</v>
      </c>
      <c r="C7" s="942">
        <v>56.512</v>
      </c>
      <c r="D7" s="942">
        <v>0.17460000000000001</v>
      </c>
      <c r="E7" s="942">
        <v>13.3317</v>
      </c>
      <c r="F7" s="942">
        <v>1.6676</v>
      </c>
      <c r="G7" s="942">
        <v>15.791</v>
      </c>
      <c r="H7" s="939">
        <f t="shared" si="0"/>
        <v>88.896199999999993</v>
      </c>
      <c r="I7" s="940"/>
    </row>
    <row r="8" spans="1:10" customFormat="1" ht="12.75" x14ac:dyDescent="0.2">
      <c r="A8" s="941" t="s">
        <v>476</v>
      </c>
      <c r="B8" s="942">
        <v>13.6523</v>
      </c>
      <c r="C8" s="942">
        <v>33.658999999999999</v>
      </c>
      <c r="D8" s="942">
        <v>0</v>
      </c>
      <c r="E8" s="942">
        <v>0.49769999999999998</v>
      </c>
      <c r="F8" s="942">
        <v>0</v>
      </c>
      <c r="G8" s="942">
        <v>7.9000000000000001E-2</v>
      </c>
      <c r="H8" s="939">
        <f t="shared" si="0"/>
        <v>47.888000000000005</v>
      </c>
      <c r="I8" s="940"/>
    </row>
    <row r="9" spans="1:10" customFormat="1" ht="12.75" x14ac:dyDescent="0.2">
      <c r="A9" s="941" t="s">
        <v>353</v>
      </c>
      <c r="B9" s="942">
        <v>0</v>
      </c>
      <c r="C9" s="942">
        <v>3.0000000000000001E-3</v>
      </c>
      <c r="D9" s="942">
        <v>2.1482999999999999</v>
      </c>
      <c r="E9" s="942">
        <v>42.901000000000003</v>
      </c>
      <c r="F9" s="942">
        <v>75.872900000000001</v>
      </c>
      <c r="G9" s="942">
        <v>161.06</v>
      </c>
      <c r="H9" s="939">
        <f t="shared" si="0"/>
        <v>281.98520000000002</v>
      </c>
      <c r="I9" s="940"/>
    </row>
    <row r="10" spans="1:10" customFormat="1" ht="12.75" x14ac:dyDescent="0.2">
      <c r="A10" s="941" t="s">
        <v>354</v>
      </c>
      <c r="B10" s="942">
        <v>1.4394</v>
      </c>
      <c r="C10" s="942">
        <v>3.0539999999999998</v>
      </c>
      <c r="D10" s="942">
        <v>5.7500000000000002E-2</v>
      </c>
      <c r="E10" s="942">
        <v>0.63829999999999998</v>
      </c>
      <c r="F10" s="942">
        <v>0.67769999999999997</v>
      </c>
      <c r="G10" s="942">
        <v>4.0010000000000003</v>
      </c>
      <c r="H10" s="939">
        <f t="shared" si="0"/>
        <v>9.8678999999999988</v>
      </c>
      <c r="I10" s="940"/>
    </row>
    <row r="11" spans="1:10" customFormat="1" ht="12.75" x14ac:dyDescent="0.2">
      <c r="A11" s="941" t="s">
        <v>355</v>
      </c>
      <c r="B11" s="942">
        <v>3.7008000000000001</v>
      </c>
      <c r="C11" s="942">
        <v>12.324999999999999</v>
      </c>
      <c r="D11" s="942">
        <v>0.25750000000000001</v>
      </c>
      <c r="E11" s="942">
        <v>2.1823999999999999</v>
      </c>
      <c r="F11" s="942">
        <v>2.4624999999999999</v>
      </c>
      <c r="G11" s="942">
        <v>7.5140000000000002</v>
      </c>
      <c r="H11" s="939">
        <f t="shared" si="0"/>
        <v>28.4422</v>
      </c>
      <c r="I11" s="940"/>
    </row>
    <row r="12" spans="1:10" customFormat="1" ht="12.75" x14ac:dyDescent="0.2">
      <c r="A12" s="941" t="s">
        <v>356</v>
      </c>
      <c r="B12" s="942">
        <v>0.1144</v>
      </c>
      <c r="C12" s="942">
        <v>18.981000000000002</v>
      </c>
      <c r="D12" s="942">
        <v>4.4999999999999998E-2</v>
      </c>
      <c r="E12" s="942">
        <v>2.7054</v>
      </c>
      <c r="F12" s="942">
        <v>0.16739999999999999</v>
      </c>
      <c r="G12" s="942">
        <v>5.7949999999999999</v>
      </c>
      <c r="H12" s="939">
        <f t="shared" si="0"/>
        <v>27.808200000000006</v>
      </c>
      <c r="I12" s="940"/>
    </row>
    <row r="13" spans="1:10" customFormat="1" ht="12.75" x14ac:dyDescent="0.2">
      <c r="A13" s="941" t="s">
        <v>316</v>
      </c>
      <c r="B13" s="942">
        <v>1.9434</v>
      </c>
      <c r="C13" s="942">
        <v>0</v>
      </c>
      <c r="D13" s="942">
        <v>0</v>
      </c>
      <c r="E13" s="942">
        <v>0</v>
      </c>
      <c r="F13" s="942">
        <v>0</v>
      </c>
      <c r="G13" s="942">
        <v>0</v>
      </c>
      <c r="H13" s="939">
        <f t="shared" si="0"/>
        <v>1.9434</v>
      </c>
      <c r="I13" s="940"/>
    </row>
    <row r="14" spans="1:10" customFormat="1" ht="12.75" x14ac:dyDescent="0.2">
      <c r="A14" s="941" t="s">
        <v>359</v>
      </c>
      <c r="B14" s="942">
        <v>11.460800000000001</v>
      </c>
      <c r="C14" s="942">
        <v>0.66</v>
      </c>
      <c r="D14" s="942">
        <v>0</v>
      </c>
      <c r="E14" s="942">
        <v>0</v>
      </c>
      <c r="F14" s="942">
        <v>0</v>
      </c>
      <c r="G14" s="942">
        <v>0</v>
      </c>
      <c r="H14" s="939">
        <f t="shared" si="0"/>
        <v>12.120800000000001</v>
      </c>
      <c r="I14" s="940"/>
    </row>
    <row r="15" spans="1:10" customFormat="1" x14ac:dyDescent="0.25">
      <c r="A15" s="941" t="s">
        <v>360</v>
      </c>
      <c r="B15" s="942">
        <v>3.5977000000000001</v>
      </c>
      <c r="C15" s="942">
        <v>4.6680000000000001</v>
      </c>
      <c r="D15" s="942">
        <v>0</v>
      </c>
      <c r="E15" s="942">
        <v>1.6000000000000001E-3</v>
      </c>
      <c r="F15" s="942">
        <v>0</v>
      </c>
      <c r="G15" s="942">
        <v>0</v>
      </c>
      <c r="H15" s="939">
        <f t="shared" si="0"/>
        <v>8.2673000000000005</v>
      </c>
      <c r="I15" s="940"/>
      <c r="J15" s="857" t="s">
        <v>540</v>
      </c>
    </row>
    <row r="16" spans="1:10" customFormat="1" x14ac:dyDescent="0.25">
      <c r="A16" s="941" t="s">
        <v>361</v>
      </c>
      <c r="B16" s="942">
        <v>4.1099999999999998E-2</v>
      </c>
      <c r="C16" s="942">
        <v>6.3109999999999999</v>
      </c>
      <c r="D16" s="942">
        <v>2.1499999999999998E-2</v>
      </c>
      <c r="E16" s="942">
        <v>3.8702999999999999</v>
      </c>
      <c r="F16" s="942">
        <v>0.13950000000000001</v>
      </c>
      <c r="G16" s="942">
        <v>16.619</v>
      </c>
      <c r="H16" s="939">
        <f t="shared" si="0"/>
        <v>27.002400000000002</v>
      </c>
      <c r="I16" s="940"/>
      <c r="J16" s="857" t="s">
        <v>772</v>
      </c>
    </row>
    <row r="17" spans="1:10" customFormat="1" x14ac:dyDescent="0.25">
      <c r="A17" s="941" t="s">
        <v>794</v>
      </c>
      <c r="B17" s="942">
        <v>0.66930000000000001</v>
      </c>
      <c r="C17" s="942">
        <v>2.2650000000000001</v>
      </c>
      <c r="D17" s="942">
        <v>0</v>
      </c>
      <c r="E17" s="942">
        <v>0</v>
      </c>
      <c r="F17" s="942">
        <v>0</v>
      </c>
      <c r="G17" s="942">
        <v>0</v>
      </c>
      <c r="H17" s="939">
        <f t="shared" si="0"/>
        <v>2.9343000000000004</v>
      </c>
      <c r="I17" s="940"/>
      <c r="J17" s="857" t="s">
        <v>773</v>
      </c>
    </row>
    <row r="18" spans="1:10" customFormat="1" ht="15.75" thickBot="1" x14ac:dyDescent="0.3">
      <c r="A18" s="943" t="s">
        <v>362</v>
      </c>
      <c r="B18" s="944">
        <v>2.4796999999999998</v>
      </c>
      <c r="C18" s="944">
        <v>22.89</v>
      </c>
      <c r="D18" s="944">
        <v>0.2122</v>
      </c>
      <c r="E18" s="944">
        <v>1.9575</v>
      </c>
      <c r="F18" s="944">
        <v>1.4999999999999999E-2</v>
      </c>
      <c r="G18" s="944">
        <v>3.6190000000000002</v>
      </c>
      <c r="H18" s="945">
        <f t="shared" si="0"/>
        <v>31.173400000000001</v>
      </c>
      <c r="I18" s="940"/>
      <c r="J18" s="857" t="s">
        <v>541</v>
      </c>
    </row>
    <row r="19" spans="1:10" customFormat="1" ht="15.75" thickBot="1" x14ac:dyDescent="0.25">
      <c r="A19" s="946" t="s">
        <v>774</v>
      </c>
      <c r="B19" s="947">
        <f>SUM(B4:B18)</f>
        <v>44.420100000000005</v>
      </c>
      <c r="C19" s="947">
        <f t="shared" ref="C19:G19" si="1">SUM(C4:C18)</f>
        <v>288.99399999999991</v>
      </c>
      <c r="D19" s="947">
        <f t="shared" si="1"/>
        <v>3.1749000000000001</v>
      </c>
      <c r="E19" s="947">
        <f t="shared" si="1"/>
        <v>76.843099999999993</v>
      </c>
      <c r="F19" s="947">
        <f t="shared" si="1"/>
        <v>81.04010000000001</v>
      </c>
      <c r="G19" s="947">
        <f t="shared" si="1"/>
        <v>228.01400000000001</v>
      </c>
      <c r="H19" s="948">
        <f>SUM(B19:G19)</f>
        <v>722.48619999999983</v>
      </c>
      <c r="I19" s="949"/>
      <c r="J19" s="950">
        <f>D19+E19+F19+G19</f>
        <v>389.07209999999998</v>
      </c>
    </row>
    <row r="20" spans="1:10" customFormat="1" ht="12.75" x14ac:dyDescent="0.2">
      <c r="A20" s="937" t="s">
        <v>363</v>
      </c>
      <c r="B20" s="938">
        <v>0</v>
      </c>
      <c r="C20" s="938">
        <v>0</v>
      </c>
      <c r="D20" s="938">
        <v>0</v>
      </c>
      <c r="E20" s="938">
        <v>0</v>
      </c>
      <c r="F20" s="938">
        <v>0</v>
      </c>
      <c r="G20" s="938">
        <v>0</v>
      </c>
      <c r="H20" s="939">
        <f>SUM(B20:G20)</f>
        <v>0</v>
      </c>
      <c r="I20" s="940"/>
    </row>
    <row r="21" spans="1:10" customFormat="1" ht="12.75" x14ac:dyDescent="0.2">
      <c r="A21" s="941" t="s">
        <v>365</v>
      </c>
      <c r="B21" s="942">
        <v>21.731100000000001</v>
      </c>
      <c r="C21" s="942">
        <v>66.447999999999993</v>
      </c>
      <c r="D21" s="942">
        <v>0.15690000000000001</v>
      </c>
      <c r="E21" s="942">
        <v>9.4100000000000003E-2</v>
      </c>
      <c r="F21" s="942">
        <v>1.0500000000000001E-2</v>
      </c>
      <c r="G21" s="942">
        <v>5.1999999999999998E-2</v>
      </c>
      <c r="H21" s="939">
        <f t="shared" ref="H21:H29" si="2">SUM(B21:G21)</f>
        <v>88.492599999999982</v>
      </c>
      <c r="I21" s="940"/>
    </row>
    <row r="22" spans="1:10" customFormat="1" ht="12.75" x14ac:dyDescent="0.2">
      <c r="A22" s="941" t="s">
        <v>366</v>
      </c>
      <c r="B22" s="942">
        <v>2.137</v>
      </c>
      <c r="C22" s="942">
        <v>0.49299999999999999</v>
      </c>
      <c r="D22" s="942">
        <v>0</v>
      </c>
      <c r="E22" s="942">
        <v>0.51370000000000005</v>
      </c>
      <c r="F22" s="942">
        <v>9.2981999999999996</v>
      </c>
      <c r="G22" s="942">
        <v>0</v>
      </c>
      <c r="H22" s="939">
        <f t="shared" si="2"/>
        <v>12.4419</v>
      </c>
      <c r="I22" s="940"/>
    </row>
    <row r="23" spans="1:10" customFormat="1" ht="12.75" x14ac:dyDescent="0.2">
      <c r="A23" s="941" t="s">
        <v>367</v>
      </c>
      <c r="B23" s="942">
        <v>0</v>
      </c>
      <c r="C23" s="942">
        <v>0</v>
      </c>
      <c r="D23" s="942">
        <v>0</v>
      </c>
      <c r="E23" s="942">
        <v>0</v>
      </c>
      <c r="F23" s="942">
        <v>0.56469999999999998</v>
      </c>
      <c r="G23" s="942">
        <v>0</v>
      </c>
      <c r="H23" s="939">
        <f t="shared" si="2"/>
        <v>0.56469999999999998</v>
      </c>
      <c r="I23" s="940"/>
    </row>
    <row r="24" spans="1:10" customFormat="1" ht="12.75" x14ac:dyDescent="0.2">
      <c r="A24" s="941" t="s">
        <v>368</v>
      </c>
      <c r="B24" s="942">
        <v>0</v>
      </c>
      <c r="C24" s="942">
        <v>0</v>
      </c>
      <c r="D24" s="942">
        <v>2.3778999999999999</v>
      </c>
      <c r="E24" s="942">
        <v>5.1825000000000001</v>
      </c>
      <c r="F24" s="942">
        <v>9.3132999999999999</v>
      </c>
      <c r="G24" s="942">
        <v>0</v>
      </c>
      <c r="H24" s="939">
        <f t="shared" si="2"/>
        <v>16.873699999999999</v>
      </c>
      <c r="I24" s="940"/>
    </row>
    <row r="25" spans="1:10" customFormat="1" ht="12.75" x14ac:dyDescent="0.2">
      <c r="A25" s="941" t="s">
        <v>369</v>
      </c>
      <c r="B25" s="942">
        <v>4.5913000000000004</v>
      </c>
      <c r="C25" s="942">
        <v>10.215</v>
      </c>
      <c r="D25" s="942">
        <v>0.21199999999999999</v>
      </c>
      <c r="E25" s="942">
        <v>0.81130000000000002</v>
      </c>
      <c r="F25" s="942">
        <v>5.5961999999999996</v>
      </c>
      <c r="G25" s="942">
        <v>0</v>
      </c>
      <c r="H25" s="939">
        <f t="shared" si="2"/>
        <v>21.425799999999999</v>
      </c>
      <c r="I25" s="940"/>
    </row>
    <row r="26" spans="1:10" customFormat="1" ht="12.75" x14ac:dyDescent="0.2">
      <c r="A26" s="941" t="s">
        <v>370</v>
      </c>
      <c r="B26" s="942">
        <v>0</v>
      </c>
      <c r="C26" s="942">
        <v>0</v>
      </c>
      <c r="D26" s="942">
        <v>0</v>
      </c>
      <c r="E26" s="942">
        <v>0</v>
      </c>
      <c r="F26" s="942">
        <v>0</v>
      </c>
      <c r="G26" s="942">
        <v>0</v>
      </c>
      <c r="H26" s="939">
        <f t="shared" si="2"/>
        <v>0</v>
      </c>
      <c r="I26" s="940"/>
    </row>
    <row r="27" spans="1:10" customFormat="1" ht="12.75" x14ac:dyDescent="0.2">
      <c r="A27" s="941" t="s">
        <v>795</v>
      </c>
      <c r="B27" s="942">
        <v>0</v>
      </c>
      <c r="C27" s="942">
        <v>0</v>
      </c>
      <c r="D27" s="942">
        <v>0</v>
      </c>
      <c r="E27" s="942">
        <v>0</v>
      </c>
      <c r="F27" s="942">
        <v>0</v>
      </c>
      <c r="G27" s="942">
        <v>0</v>
      </c>
      <c r="H27" s="939">
        <f t="shared" si="2"/>
        <v>0</v>
      </c>
      <c r="I27" s="940"/>
    </row>
    <row r="28" spans="1:10" customFormat="1" ht="12.75" x14ac:dyDescent="0.2">
      <c r="A28" s="941" t="s">
        <v>443</v>
      </c>
      <c r="B28" s="942">
        <v>0</v>
      </c>
      <c r="C28" s="942">
        <v>0.41099999999999998</v>
      </c>
      <c r="D28" s="942">
        <v>0</v>
      </c>
      <c r="E28" s="942">
        <v>0</v>
      </c>
      <c r="F28" s="942">
        <v>0</v>
      </c>
      <c r="G28" s="942">
        <v>0</v>
      </c>
      <c r="H28" s="939">
        <f t="shared" si="2"/>
        <v>0.41099999999999998</v>
      </c>
      <c r="I28" s="940"/>
    </row>
    <row r="29" spans="1:10" customFormat="1" ht="12.75" x14ac:dyDescent="0.2">
      <c r="A29" s="941" t="s">
        <v>215</v>
      </c>
      <c r="B29" s="942">
        <v>1.6734</v>
      </c>
      <c r="C29" s="942">
        <v>10.587999999999999</v>
      </c>
      <c r="D29" s="942">
        <v>0.96050000000000002</v>
      </c>
      <c r="E29" s="942">
        <v>2.6187999999999998</v>
      </c>
      <c r="F29" s="942">
        <v>0.09</v>
      </c>
      <c r="G29" s="942">
        <v>0.40500000000000003</v>
      </c>
      <c r="H29" s="939">
        <f t="shared" si="2"/>
        <v>16.335699999999999</v>
      </c>
      <c r="I29" s="940"/>
    </row>
    <row r="30" spans="1:10" customFormat="1" ht="13.5" thickBot="1" x14ac:dyDescent="0.25">
      <c r="A30" s="943" t="s">
        <v>371</v>
      </c>
      <c r="B30" s="944">
        <v>0.46129999999999999</v>
      </c>
      <c r="C30" s="944">
        <v>13.294</v>
      </c>
      <c r="D30" s="944">
        <v>4.24E-2</v>
      </c>
      <c r="E30" s="944">
        <v>2.3702999999999999</v>
      </c>
      <c r="F30" s="944">
        <v>0</v>
      </c>
      <c r="G30" s="944">
        <v>1.1140000000000001</v>
      </c>
      <c r="H30" s="945">
        <f>SUM(B30:G30)</f>
        <v>17.282</v>
      </c>
      <c r="I30" s="940"/>
    </row>
    <row r="31" spans="1:10" customFormat="1" ht="15.75" thickBot="1" x14ac:dyDescent="0.25">
      <c r="A31" s="946" t="s">
        <v>796</v>
      </c>
      <c r="B31" s="947">
        <f>SUM(B20:B30)</f>
        <v>30.594100000000005</v>
      </c>
      <c r="C31" s="947">
        <f t="shared" ref="C31:G31" si="3">SUM(C20:C30)</f>
        <v>101.44899999999998</v>
      </c>
      <c r="D31" s="947">
        <f t="shared" si="3"/>
        <v>3.7497000000000003</v>
      </c>
      <c r="E31" s="947">
        <f t="shared" si="3"/>
        <v>11.5907</v>
      </c>
      <c r="F31" s="947">
        <f t="shared" si="3"/>
        <v>24.872900000000001</v>
      </c>
      <c r="G31" s="947">
        <f t="shared" si="3"/>
        <v>1.5710000000000002</v>
      </c>
      <c r="H31" s="948">
        <f>SUM(B31:G31)</f>
        <v>173.82739999999998</v>
      </c>
      <c r="I31" s="949"/>
    </row>
    <row r="32" spans="1:10" customFormat="1" ht="12.75" x14ac:dyDescent="0.2">
      <c r="A32" s="937" t="s">
        <v>372</v>
      </c>
      <c r="B32" s="938">
        <v>16.2669</v>
      </c>
      <c r="C32" s="938">
        <v>2.8000000000000001E-2</v>
      </c>
      <c r="D32" s="938">
        <v>6.0972</v>
      </c>
      <c r="E32" s="938">
        <v>0</v>
      </c>
      <c r="F32" s="938">
        <v>26.282299999999999</v>
      </c>
      <c r="G32" s="938">
        <v>8.9999999999999993E-3</v>
      </c>
      <c r="H32" s="939">
        <f>SUM(B32:G32)</f>
        <v>48.683399999999999</v>
      </c>
      <c r="I32" s="940"/>
    </row>
    <row r="33" spans="1:9" customFormat="1" ht="12.75" x14ac:dyDescent="0.2">
      <c r="A33" s="941" t="s">
        <v>542</v>
      </c>
      <c r="B33" s="942">
        <v>0.69510000000000005</v>
      </c>
      <c r="C33" s="942">
        <v>0</v>
      </c>
      <c r="D33" s="942">
        <v>0</v>
      </c>
      <c r="E33" s="942">
        <v>0</v>
      </c>
      <c r="F33" s="942">
        <v>0</v>
      </c>
      <c r="G33" s="942">
        <v>0</v>
      </c>
      <c r="H33" s="939">
        <f t="shared" ref="H33:H41" si="4">SUM(B33:G33)</f>
        <v>0.69510000000000005</v>
      </c>
      <c r="I33" s="940"/>
    </row>
    <row r="34" spans="1:9" customFormat="1" ht="12.75" x14ac:dyDescent="0.2">
      <c r="A34" s="941" t="s">
        <v>912</v>
      </c>
      <c r="B34" s="942">
        <v>0</v>
      </c>
      <c r="C34" s="942">
        <v>0</v>
      </c>
      <c r="D34" s="942">
        <v>0</v>
      </c>
      <c r="E34" s="942">
        <v>0</v>
      </c>
      <c r="F34" s="942">
        <v>0</v>
      </c>
      <c r="G34" s="942">
        <v>0</v>
      </c>
      <c r="H34" s="939">
        <f t="shared" si="4"/>
        <v>0</v>
      </c>
      <c r="I34" s="940"/>
    </row>
    <row r="35" spans="1:9" customFormat="1" ht="12.75" x14ac:dyDescent="0.2">
      <c r="A35" s="941" t="s">
        <v>373</v>
      </c>
      <c r="B35" s="942">
        <v>5.6425999999999998</v>
      </c>
      <c r="C35" s="942">
        <v>0.29299999999999998</v>
      </c>
      <c r="D35" s="942">
        <v>1.53</v>
      </c>
      <c r="E35" s="942">
        <v>0</v>
      </c>
      <c r="F35" s="942">
        <v>10.514799999999999</v>
      </c>
      <c r="G35" s="942">
        <v>0</v>
      </c>
      <c r="H35" s="939">
        <f t="shared" si="4"/>
        <v>17.980399999999999</v>
      </c>
      <c r="I35" s="940"/>
    </row>
    <row r="36" spans="1:9" customFormat="1" ht="12.75" x14ac:dyDescent="0.2">
      <c r="A36" s="941" t="s">
        <v>374</v>
      </c>
      <c r="B36" s="942">
        <v>4.7827000000000002</v>
      </c>
      <c r="C36" s="942">
        <v>1.2E-2</v>
      </c>
      <c r="D36" s="942">
        <v>0.62280000000000002</v>
      </c>
      <c r="E36" s="942">
        <v>0</v>
      </c>
      <c r="F36" s="942">
        <v>1.3575999999999999</v>
      </c>
      <c r="G36" s="942">
        <v>0</v>
      </c>
      <c r="H36" s="939">
        <f t="shared" si="4"/>
        <v>6.7750999999999992</v>
      </c>
      <c r="I36" s="940"/>
    </row>
    <row r="37" spans="1:9" customFormat="1" ht="12.75" x14ac:dyDescent="0.2">
      <c r="A37" s="941" t="s">
        <v>375</v>
      </c>
      <c r="B37" s="942">
        <v>0.85860000000000003</v>
      </c>
      <c r="C37" s="942">
        <v>1.52</v>
      </c>
      <c r="D37" s="942">
        <v>0.31669999999999998</v>
      </c>
      <c r="E37" s="942">
        <v>0.3871</v>
      </c>
      <c r="F37" s="942">
        <v>1.5941000000000001</v>
      </c>
      <c r="G37" s="942">
        <v>0</v>
      </c>
      <c r="H37" s="939">
        <f t="shared" si="4"/>
        <v>4.6764999999999999</v>
      </c>
      <c r="I37" s="940"/>
    </row>
    <row r="38" spans="1:9" customFormat="1" ht="12.75" x14ac:dyDescent="0.2">
      <c r="A38" s="941" t="s">
        <v>913</v>
      </c>
      <c r="B38" s="942">
        <v>0</v>
      </c>
      <c r="C38" s="942">
        <v>0</v>
      </c>
      <c r="D38" s="942">
        <v>0</v>
      </c>
      <c r="E38" s="942">
        <v>0</v>
      </c>
      <c r="F38" s="942">
        <v>0</v>
      </c>
      <c r="G38" s="942">
        <v>0</v>
      </c>
      <c r="H38" s="939">
        <f t="shared" si="4"/>
        <v>0</v>
      </c>
      <c r="I38" s="940"/>
    </row>
    <row r="39" spans="1:9" customFormat="1" ht="12.75" x14ac:dyDescent="0.2">
      <c r="A39" s="941" t="s">
        <v>376</v>
      </c>
      <c r="B39" s="942">
        <v>0.84050000000000002</v>
      </c>
      <c r="C39" s="942">
        <v>0</v>
      </c>
      <c r="D39" s="942">
        <v>0.1293</v>
      </c>
      <c r="E39" s="942">
        <v>0</v>
      </c>
      <c r="F39" s="942">
        <v>0</v>
      </c>
      <c r="G39" s="942">
        <v>0</v>
      </c>
      <c r="H39" s="939">
        <f t="shared" si="4"/>
        <v>0.9698</v>
      </c>
      <c r="I39" s="940"/>
    </row>
    <row r="40" spans="1:9" customFormat="1" ht="12.75" x14ac:dyDescent="0.2">
      <c r="A40" s="941" t="s">
        <v>543</v>
      </c>
      <c r="B40" s="942">
        <v>0.12540000000000001</v>
      </c>
      <c r="C40" s="942">
        <v>0</v>
      </c>
      <c r="D40" s="942">
        <v>6.4199999999999993E-2</v>
      </c>
      <c r="E40" s="942">
        <v>0</v>
      </c>
      <c r="F40" s="942">
        <v>0</v>
      </c>
      <c r="G40" s="942">
        <v>0</v>
      </c>
      <c r="H40" s="939">
        <f t="shared" si="4"/>
        <v>0.18959999999999999</v>
      </c>
      <c r="I40" s="940"/>
    </row>
    <row r="41" spans="1:9" customFormat="1" ht="13.5" thickBot="1" x14ac:dyDescent="0.25">
      <c r="A41" s="943" t="s">
        <v>377</v>
      </c>
      <c r="B41" s="944">
        <v>1.6996</v>
      </c>
      <c r="C41" s="944">
        <v>0</v>
      </c>
      <c r="D41" s="944">
        <v>1.6251</v>
      </c>
      <c r="E41" s="944">
        <v>0</v>
      </c>
      <c r="F41" s="944">
        <v>5.1269</v>
      </c>
      <c r="G41" s="944">
        <v>0</v>
      </c>
      <c r="H41" s="939">
        <f t="shared" si="4"/>
        <v>8.4515999999999991</v>
      </c>
      <c r="I41" s="940"/>
    </row>
    <row r="42" spans="1:9" customFormat="1" ht="15.75" thickBot="1" x14ac:dyDescent="0.25">
      <c r="A42" s="946" t="s">
        <v>797</v>
      </c>
      <c r="B42" s="947">
        <f>SUM(B32:B41)</f>
        <v>30.911399999999993</v>
      </c>
      <c r="C42" s="947">
        <f t="shared" ref="C42:G42" si="5">SUM(C32:C41)</f>
        <v>1.853</v>
      </c>
      <c r="D42" s="947">
        <f t="shared" si="5"/>
        <v>10.385300000000001</v>
      </c>
      <c r="E42" s="947">
        <f t="shared" si="5"/>
        <v>0.3871</v>
      </c>
      <c r="F42" s="947">
        <f t="shared" si="5"/>
        <v>44.875699999999995</v>
      </c>
      <c r="G42" s="947">
        <f t="shared" si="5"/>
        <v>8.9999999999999993E-3</v>
      </c>
      <c r="H42" s="948">
        <f>SUM(B42:G42)</f>
        <v>88.421499999999995</v>
      </c>
      <c r="I42" s="949"/>
    </row>
    <row r="43" spans="1:9" customFormat="1" ht="15.6" customHeight="1" x14ac:dyDescent="0.2">
      <c r="A43" s="937" t="s">
        <v>379</v>
      </c>
      <c r="B43" s="938">
        <v>0</v>
      </c>
      <c r="C43" s="938">
        <v>0</v>
      </c>
      <c r="D43" s="938">
        <v>0</v>
      </c>
      <c r="E43" s="938">
        <v>0</v>
      </c>
      <c r="F43" s="938">
        <v>1.4642999999999999</v>
      </c>
      <c r="G43" s="938">
        <v>0</v>
      </c>
      <c r="H43" s="939">
        <f>SUM(B43:G43)</f>
        <v>1.4642999999999999</v>
      </c>
      <c r="I43" s="940"/>
    </row>
    <row r="44" spans="1:9" customFormat="1" ht="17.45" customHeight="1" x14ac:dyDescent="0.2">
      <c r="A44" s="941" t="s">
        <v>378</v>
      </c>
      <c r="B44" s="942">
        <v>0</v>
      </c>
      <c r="C44" s="942">
        <v>0</v>
      </c>
      <c r="D44" s="942">
        <v>0</v>
      </c>
      <c r="E44" s="942">
        <v>0</v>
      </c>
      <c r="F44" s="942">
        <v>0</v>
      </c>
      <c r="G44" s="942">
        <v>0</v>
      </c>
      <c r="H44" s="939">
        <f t="shared" ref="H44:H45" si="6">SUM(B44:G44)</f>
        <v>0</v>
      </c>
      <c r="I44" s="940"/>
    </row>
    <row r="45" spans="1:9" customFormat="1" ht="12.75" x14ac:dyDescent="0.2">
      <c r="A45" s="941" t="s">
        <v>798</v>
      </c>
      <c r="B45" s="942">
        <v>0</v>
      </c>
      <c r="C45" s="942">
        <v>0</v>
      </c>
      <c r="D45" s="942">
        <v>0</v>
      </c>
      <c r="E45" s="942">
        <v>0</v>
      </c>
      <c r="F45" s="942">
        <v>0</v>
      </c>
      <c r="G45" s="942">
        <v>0</v>
      </c>
      <c r="H45" s="939">
        <f t="shared" si="6"/>
        <v>0</v>
      </c>
      <c r="I45" s="940"/>
    </row>
    <row r="46" spans="1:9" customFormat="1" ht="13.5" thickBot="1" x14ac:dyDescent="0.25">
      <c r="A46" s="943" t="s">
        <v>380</v>
      </c>
      <c r="B46" s="944">
        <v>0</v>
      </c>
      <c r="C46" s="944">
        <v>0</v>
      </c>
      <c r="D46" s="944">
        <v>0</v>
      </c>
      <c r="E46" s="944">
        <v>0</v>
      </c>
      <c r="F46" s="944">
        <v>0</v>
      </c>
      <c r="G46" s="944">
        <v>0</v>
      </c>
      <c r="H46" s="939">
        <f>SUM(B46:G46)</f>
        <v>0</v>
      </c>
      <c r="I46" s="940"/>
    </row>
    <row r="47" spans="1:9" customFormat="1" ht="15.75" thickBot="1" x14ac:dyDescent="0.25">
      <c r="A47" s="946" t="s">
        <v>914</v>
      </c>
      <c r="B47" s="947">
        <f>SUM(B43:B46)</f>
        <v>0</v>
      </c>
      <c r="C47" s="947">
        <f t="shared" ref="C47:G47" si="7">SUM(C43:C46)</f>
        <v>0</v>
      </c>
      <c r="D47" s="947">
        <f t="shared" si="7"/>
        <v>0</v>
      </c>
      <c r="E47" s="947">
        <f t="shared" si="7"/>
        <v>0</v>
      </c>
      <c r="F47" s="947">
        <f t="shared" si="7"/>
        <v>1.4642999999999999</v>
      </c>
      <c r="G47" s="947">
        <f t="shared" si="7"/>
        <v>0</v>
      </c>
      <c r="H47" s="948">
        <f>SUM(B47:G47)</f>
        <v>1.4642999999999999</v>
      </c>
      <c r="I47" s="949"/>
    </row>
    <row r="48" spans="1:9" customFormat="1" ht="12.75" x14ac:dyDescent="0.2"/>
    <row r="49" spans="1:8" customFormat="1" ht="12.75" x14ac:dyDescent="0.2"/>
    <row r="50" spans="1:8" customFormat="1" ht="12.75" x14ac:dyDescent="0.2"/>
    <row r="52" spans="1:8" ht="15.75" thickBot="1" x14ac:dyDescent="0.3">
      <c r="A52" s="1037" t="s">
        <v>786</v>
      </c>
      <c r="B52" s="1037"/>
      <c r="C52" s="1037"/>
      <c r="D52" s="1037"/>
      <c r="E52" s="1037"/>
      <c r="F52" s="1037"/>
      <c r="G52" s="1037"/>
      <c r="H52" s="1037"/>
    </row>
    <row r="53" spans="1:8" ht="46.9" customHeight="1" x14ac:dyDescent="0.25">
      <c r="A53" s="841" t="s">
        <v>787</v>
      </c>
      <c r="B53" s="846" t="s">
        <v>788</v>
      </c>
      <c r="C53" s="846" t="s">
        <v>789</v>
      </c>
      <c r="D53" s="846" t="s">
        <v>790</v>
      </c>
      <c r="E53" s="846" t="s">
        <v>791</v>
      </c>
      <c r="F53" s="846" t="s">
        <v>792</v>
      </c>
      <c r="G53" s="846" t="s">
        <v>793</v>
      </c>
      <c r="H53" s="842" t="s">
        <v>771</v>
      </c>
    </row>
    <row r="54" spans="1:8" x14ac:dyDescent="0.25">
      <c r="A54" s="843" t="s">
        <v>538</v>
      </c>
      <c r="B54" s="844">
        <v>2.1200999999999999</v>
      </c>
      <c r="C54" s="844">
        <v>101.121</v>
      </c>
      <c r="D54" s="844">
        <v>4.7199999999999999E-2</v>
      </c>
      <c r="E54" s="844">
        <v>8.0130999999999997</v>
      </c>
      <c r="F54" s="844">
        <v>0.08</v>
      </c>
      <c r="G54" s="844">
        <v>7.7709999999999999</v>
      </c>
      <c r="H54" s="845">
        <v>119.15239999999999</v>
      </c>
    </row>
    <row r="55" spans="1:8" x14ac:dyDescent="0.25">
      <c r="A55" s="843" t="s">
        <v>539</v>
      </c>
      <c r="B55" s="844">
        <v>0.5897</v>
      </c>
      <c r="C55" s="844">
        <v>26.291</v>
      </c>
      <c r="D55" s="844">
        <v>0</v>
      </c>
      <c r="E55" s="844">
        <v>0</v>
      </c>
      <c r="F55" s="844">
        <v>0</v>
      </c>
      <c r="G55" s="844">
        <v>0</v>
      </c>
      <c r="H55" s="845">
        <v>26.880700000000001</v>
      </c>
    </row>
    <row r="56" spans="1:8" x14ac:dyDescent="0.25">
      <c r="A56" s="843" t="s">
        <v>351</v>
      </c>
      <c r="B56" s="844">
        <v>3.4441999999999999</v>
      </c>
      <c r="C56" s="844">
        <v>7.3049999999999997</v>
      </c>
      <c r="D56" s="844">
        <v>0.63949999999999996</v>
      </c>
      <c r="E56" s="844">
        <v>1.4009</v>
      </c>
      <c r="F56" s="844">
        <v>0.44900000000000001</v>
      </c>
      <c r="G56" s="844">
        <v>6.5229999999999997</v>
      </c>
      <c r="H56" s="845">
        <v>19.761600000000001</v>
      </c>
    </row>
    <row r="57" spans="1:8" x14ac:dyDescent="0.25">
      <c r="A57" s="843" t="s">
        <v>352</v>
      </c>
      <c r="B57" s="844">
        <v>5.2377000000000002</v>
      </c>
      <c r="C57" s="844">
        <v>55.529000000000003</v>
      </c>
      <c r="D57" s="844">
        <v>0.2056</v>
      </c>
      <c r="E57" s="844">
        <v>11.416399999999999</v>
      </c>
      <c r="F57" s="844">
        <v>0.99399999999999999</v>
      </c>
      <c r="G57" s="844">
        <v>16.23</v>
      </c>
      <c r="H57" s="845">
        <v>89.612700000000004</v>
      </c>
    </row>
    <row r="58" spans="1:8" x14ac:dyDescent="0.25">
      <c r="A58" s="843" t="s">
        <v>476</v>
      </c>
      <c r="B58" s="844">
        <v>15.47</v>
      </c>
      <c r="C58" s="844">
        <v>27.628</v>
      </c>
      <c r="D58" s="844">
        <v>0</v>
      </c>
      <c r="E58" s="844">
        <v>0</v>
      </c>
      <c r="F58" s="844">
        <v>0</v>
      </c>
      <c r="G58" s="844">
        <v>0</v>
      </c>
      <c r="H58" s="845">
        <v>43.097999999999999</v>
      </c>
    </row>
    <row r="59" spans="1:8" x14ac:dyDescent="0.25">
      <c r="A59" s="843" t="s">
        <v>353</v>
      </c>
      <c r="B59" s="844">
        <v>0</v>
      </c>
      <c r="C59" s="844">
        <v>0</v>
      </c>
      <c r="D59" s="844">
        <v>3.0497000000000001</v>
      </c>
      <c r="E59" s="844">
        <v>42.783099999999997</v>
      </c>
      <c r="F59" s="844">
        <v>120.184</v>
      </c>
      <c r="G59" s="844">
        <v>144.072</v>
      </c>
      <c r="H59" s="845">
        <v>310.08879999999999</v>
      </c>
    </row>
    <row r="60" spans="1:8" x14ac:dyDescent="0.25">
      <c r="A60" s="843" t="s">
        <v>354</v>
      </c>
      <c r="B60" s="844">
        <v>1.6437999999999999</v>
      </c>
      <c r="C60" s="844">
        <v>2.8090000000000002</v>
      </c>
      <c r="D60" s="844">
        <v>0.16969999999999999</v>
      </c>
      <c r="E60" s="844">
        <v>0.57879999999999998</v>
      </c>
      <c r="F60" s="844">
        <v>1.079</v>
      </c>
      <c r="G60" s="844">
        <v>8.3629999999999995</v>
      </c>
      <c r="H60" s="845">
        <v>14.6433</v>
      </c>
    </row>
    <row r="61" spans="1:8" x14ac:dyDescent="0.25">
      <c r="A61" s="843" t="s">
        <v>355</v>
      </c>
      <c r="B61" s="844">
        <v>4.9795999999999996</v>
      </c>
      <c r="C61" s="844">
        <v>15.375</v>
      </c>
      <c r="D61" s="844">
        <v>0.15409999999999999</v>
      </c>
      <c r="E61" s="844">
        <v>3.8285999999999998</v>
      </c>
      <c r="F61" s="844">
        <v>4.8410000000000002</v>
      </c>
      <c r="G61" s="844">
        <v>9.2690000000000001</v>
      </c>
      <c r="H61" s="845">
        <v>38.447299999999998</v>
      </c>
    </row>
    <row r="62" spans="1:8" x14ac:dyDescent="0.25">
      <c r="A62" s="843" t="s">
        <v>356</v>
      </c>
      <c r="B62" s="844">
        <v>0.15359999999999999</v>
      </c>
      <c r="C62" s="844">
        <v>19.268999999999998</v>
      </c>
      <c r="D62" s="844">
        <v>3.2099999999999997E-2</v>
      </c>
      <c r="E62" s="844">
        <v>4.7213000000000003</v>
      </c>
      <c r="F62" s="844">
        <v>0.20399999999999999</v>
      </c>
      <c r="G62" s="844">
        <v>5.3689999999999998</v>
      </c>
      <c r="H62" s="845">
        <v>29.748999999999999</v>
      </c>
    </row>
    <row r="63" spans="1:8" x14ac:dyDescent="0.25">
      <c r="A63" s="843" t="s">
        <v>357</v>
      </c>
      <c r="B63" s="844">
        <v>2.3536000000000001</v>
      </c>
      <c r="C63" s="844">
        <v>7.9000000000000001E-2</v>
      </c>
      <c r="D63" s="844">
        <v>0</v>
      </c>
      <c r="E63" s="844">
        <v>3.8E-3</v>
      </c>
      <c r="F63" s="844">
        <v>0</v>
      </c>
      <c r="G63" s="844">
        <v>0</v>
      </c>
      <c r="H63" s="845">
        <v>2.4364000000000003</v>
      </c>
    </row>
    <row r="64" spans="1:8" x14ac:dyDescent="0.25">
      <c r="A64" s="843" t="s">
        <v>358</v>
      </c>
      <c r="B64" s="844">
        <v>1.2313000000000001</v>
      </c>
      <c r="C64" s="844">
        <v>0</v>
      </c>
      <c r="D64" s="844">
        <v>0</v>
      </c>
      <c r="E64" s="844">
        <v>0</v>
      </c>
      <c r="F64" s="844">
        <v>0</v>
      </c>
      <c r="G64" s="844">
        <v>0</v>
      </c>
      <c r="H64" s="845">
        <v>1.2313000000000001</v>
      </c>
    </row>
    <row r="65" spans="1:10" x14ac:dyDescent="0.25">
      <c r="A65" s="843" t="s">
        <v>316</v>
      </c>
      <c r="B65" s="844">
        <v>0</v>
      </c>
      <c r="C65" s="844">
        <v>0</v>
      </c>
      <c r="D65" s="844">
        <v>0</v>
      </c>
      <c r="E65" s="844">
        <v>0</v>
      </c>
      <c r="F65" s="844">
        <v>0</v>
      </c>
      <c r="G65" s="844">
        <v>0</v>
      </c>
      <c r="H65" s="845">
        <v>0</v>
      </c>
    </row>
    <row r="66" spans="1:10" x14ac:dyDescent="0.25">
      <c r="A66" s="843" t="s">
        <v>359</v>
      </c>
      <c r="B66" s="844">
        <v>10.6701</v>
      </c>
      <c r="C66" s="844">
        <v>0</v>
      </c>
      <c r="D66" s="844">
        <v>0</v>
      </c>
      <c r="E66" s="844">
        <v>0</v>
      </c>
      <c r="F66" s="844">
        <v>0</v>
      </c>
      <c r="G66" s="844">
        <v>0</v>
      </c>
      <c r="H66" s="845">
        <v>10.6701</v>
      </c>
    </row>
    <row r="67" spans="1:10" x14ac:dyDescent="0.25">
      <c r="A67" s="843" t="s">
        <v>360</v>
      </c>
      <c r="B67" s="844">
        <v>1.2382</v>
      </c>
      <c r="C67" s="844">
        <v>6.9390000000000001</v>
      </c>
      <c r="D67" s="844">
        <v>0</v>
      </c>
      <c r="E67" s="844">
        <v>0</v>
      </c>
      <c r="F67" s="844">
        <v>0</v>
      </c>
      <c r="G67" s="844">
        <v>0</v>
      </c>
      <c r="H67" s="845">
        <v>8.1771999999999991</v>
      </c>
      <c r="I67" s="840"/>
      <c r="J67" s="857" t="s">
        <v>540</v>
      </c>
    </row>
    <row r="68" spans="1:10" x14ac:dyDescent="0.25">
      <c r="A68" s="843" t="s">
        <v>361</v>
      </c>
      <c r="B68" s="844">
        <v>0.10050000000000001</v>
      </c>
      <c r="C68" s="844">
        <v>5.6680000000000001</v>
      </c>
      <c r="D68" s="844">
        <v>4.9700000000000001E-2</v>
      </c>
      <c r="E68" s="844">
        <v>3.7612000000000001</v>
      </c>
      <c r="F68" s="844">
        <v>0.42199999999999999</v>
      </c>
      <c r="G68" s="844">
        <v>21.751000000000001</v>
      </c>
      <c r="H68" s="845">
        <v>31.752400000000002</v>
      </c>
      <c r="I68" s="840"/>
      <c r="J68" s="857" t="s">
        <v>772</v>
      </c>
    </row>
    <row r="69" spans="1:10" x14ac:dyDescent="0.25">
      <c r="A69" s="843" t="s">
        <v>794</v>
      </c>
      <c r="B69" s="844">
        <v>0.98299999999999998</v>
      </c>
      <c r="C69" s="844">
        <v>2.976</v>
      </c>
      <c r="D69" s="844">
        <v>0</v>
      </c>
      <c r="E69" s="844">
        <v>0</v>
      </c>
      <c r="F69" s="844">
        <v>0</v>
      </c>
      <c r="G69" s="844">
        <v>0</v>
      </c>
      <c r="H69" s="845">
        <v>3.9590000000000001</v>
      </c>
      <c r="I69" s="840"/>
      <c r="J69" s="857" t="s">
        <v>773</v>
      </c>
    </row>
    <row r="70" spans="1:10" x14ac:dyDescent="0.25">
      <c r="A70" s="847" t="s">
        <v>362</v>
      </c>
      <c r="B70" s="848">
        <v>1.3541000000000001</v>
      </c>
      <c r="C70" s="848">
        <v>22.963000000000001</v>
      </c>
      <c r="D70" s="848">
        <v>0.3473</v>
      </c>
      <c r="E70" s="848">
        <v>3.0013000000000001</v>
      </c>
      <c r="F70" s="848">
        <v>0.1</v>
      </c>
      <c r="G70" s="848">
        <v>4.3369999999999997</v>
      </c>
      <c r="H70" s="849">
        <v>32.102699999999999</v>
      </c>
      <c r="I70" s="840"/>
      <c r="J70" s="857" t="s">
        <v>541</v>
      </c>
    </row>
    <row r="71" spans="1:10" x14ac:dyDescent="0.25">
      <c r="A71" s="853" t="s">
        <v>774</v>
      </c>
      <c r="B71" s="854">
        <v>51.569499999999984</v>
      </c>
      <c r="C71" s="854">
        <v>293.952</v>
      </c>
      <c r="D71" s="854">
        <v>4.6948999999999987</v>
      </c>
      <c r="E71" s="854">
        <v>79.508499999999984</v>
      </c>
      <c r="F71" s="854">
        <v>128.35299999999998</v>
      </c>
      <c r="G71" s="854">
        <v>223.685</v>
      </c>
      <c r="H71" s="855">
        <v>781.76289999999995</v>
      </c>
      <c r="I71" s="840"/>
      <c r="J71" s="856">
        <v>436.2414</v>
      </c>
    </row>
    <row r="72" spans="1:10" x14ac:dyDescent="0.25">
      <c r="A72" s="850" t="s">
        <v>363</v>
      </c>
      <c r="B72" s="851">
        <v>0</v>
      </c>
      <c r="C72" s="851">
        <v>0</v>
      </c>
      <c r="D72" s="851">
        <v>0</v>
      </c>
      <c r="E72" s="851">
        <v>0</v>
      </c>
      <c r="F72" s="851">
        <v>0</v>
      </c>
      <c r="G72" s="851">
        <v>0</v>
      </c>
      <c r="H72" s="852">
        <v>0.47</v>
      </c>
      <c r="I72" s="840"/>
      <c r="J72" s="840"/>
    </row>
    <row r="73" spans="1:10" x14ac:dyDescent="0.25">
      <c r="A73" s="843" t="s">
        <v>364</v>
      </c>
      <c r="B73" s="844">
        <v>0</v>
      </c>
      <c r="C73" s="844">
        <v>0</v>
      </c>
      <c r="D73" s="844">
        <v>0</v>
      </c>
      <c r="E73" s="844">
        <v>0</v>
      </c>
      <c r="F73" s="844">
        <v>4.3040000000000003</v>
      </c>
      <c r="G73" s="844">
        <v>0</v>
      </c>
      <c r="H73" s="845">
        <v>7.3</v>
      </c>
      <c r="I73" s="840"/>
      <c r="J73" s="840"/>
    </row>
    <row r="74" spans="1:10" x14ac:dyDescent="0.25">
      <c r="A74" s="843" t="s">
        <v>365</v>
      </c>
      <c r="B74" s="844">
        <v>29.613299999999999</v>
      </c>
      <c r="C74" s="844">
        <v>59.043999999999997</v>
      </c>
      <c r="D74" s="844">
        <v>0.92579999999999996</v>
      </c>
      <c r="E74" s="844">
        <v>0.30380000000000001</v>
      </c>
      <c r="F74" s="844">
        <v>0.28100000000000003</v>
      </c>
      <c r="G74" s="844">
        <v>0.28499999999999998</v>
      </c>
      <c r="H74" s="845">
        <v>117.32</v>
      </c>
      <c r="I74" s="840"/>
      <c r="J74" s="840"/>
    </row>
    <row r="75" spans="1:10" x14ac:dyDescent="0.25">
      <c r="A75" s="843" t="s">
        <v>366</v>
      </c>
      <c r="B75" s="844">
        <v>1.401</v>
      </c>
      <c r="C75" s="844">
        <v>0.66900000000000004</v>
      </c>
      <c r="D75" s="844">
        <v>0</v>
      </c>
      <c r="E75" s="844">
        <v>0.56459999999999999</v>
      </c>
      <c r="F75" s="844">
        <v>0.57599999999999996</v>
      </c>
      <c r="G75" s="844">
        <v>0</v>
      </c>
      <c r="H75" s="845">
        <v>49.69</v>
      </c>
      <c r="I75" s="840"/>
      <c r="J75" s="840"/>
    </row>
    <row r="76" spans="1:10" x14ac:dyDescent="0.25">
      <c r="A76" s="843" t="s">
        <v>367</v>
      </c>
      <c r="B76" s="844">
        <v>0</v>
      </c>
      <c r="C76" s="844">
        <v>0</v>
      </c>
      <c r="D76" s="844">
        <v>0.2487</v>
      </c>
      <c r="E76" s="844">
        <v>0</v>
      </c>
      <c r="F76" s="844">
        <v>14.933999999999999</v>
      </c>
      <c r="G76" s="844">
        <v>0</v>
      </c>
      <c r="H76" s="845">
        <v>67.260000000000005</v>
      </c>
      <c r="I76" s="840"/>
      <c r="J76" s="840"/>
    </row>
    <row r="77" spans="1:10" x14ac:dyDescent="0.25">
      <c r="A77" s="843" t="s">
        <v>368</v>
      </c>
      <c r="B77" s="844">
        <v>0</v>
      </c>
      <c r="C77" s="844">
        <v>0</v>
      </c>
      <c r="D77" s="844">
        <v>10.2347</v>
      </c>
      <c r="E77" s="844">
        <v>4.0091000000000001</v>
      </c>
      <c r="F77" s="844">
        <v>10.14</v>
      </c>
      <c r="G77" s="844">
        <v>1.5289999999999999</v>
      </c>
      <c r="H77" s="845">
        <v>25.91</v>
      </c>
      <c r="I77" s="840"/>
      <c r="J77" s="840"/>
    </row>
    <row r="78" spans="1:10" x14ac:dyDescent="0.25">
      <c r="A78" s="843" t="s">
        <v>369</v>
      </c>
      <c r="B78" s="844">
        <v>6.8021000000000003</v>
      </c>
      <c r="C78" s="844">
        <v>11.214</v>
      </c>
      <c r="D78" s="844">
        <v>0.58140000000000003</v>
      </c>
      <c r="E78" s="844">
        <v>0.68689999999999996</v>
      </c>
      <c r="F78" s="844">
        <v>3.7229999999999999</v>
      </c>
      <c r="G78" s="844">
        <v>0</v>
      </c>
      <c r="H78" s="845">
        <v>51.37</v>
      </c>
      <c r="I78" s="840"/>
      <c r="J78" s="840"/>
    </row>
    <row r="79" spans="1:10" x14ac:dyDescent="0.25">
      <c r="A79" s="843" t="s">
        <v>370</v>
      </c>
      <c r="B79" s="844">
        <v>1.0261</v>
      </c>
      <c r="C79" s="844">
        <v>4.8179999999999996</v>
      </c>
      <c r="D79" s="844">
        <v>0</v>
      </c>
      <c r="E79" s="844">
        <v>0</v>
      </c>
      <c r="F79" s="844">
        <v>0</v>
      </c>
      <c r="G79" s="844">
        <v>0</v>
      </c>
      <c r="H79" s="845">
        <v>17.690000000000001</v>
      </c>
      <c r="I79" s="840"/>
      <c r="J79" s="840"/>
    </row>
    <row r="80" spans="1:10" x14ac:dyDescent="0.25">
      <c r="A80" s="843" t="s">
        <v>795</v>
      </c>
      <c r="B80" s="844" t="s">
        <v>236</v>
      </c>
      <c r="C80" s="844" t="s">
        <v>236</v>
      </c>
      <c r="D80" s="844" t="s">
        <v>236</v>
      </c>
      <c r="E80" s="844" t="s">
        <v>236</v>
      </c>
      <c r="F80" s="844" t="s">
        <v>236</v>
      </c>
      <c r="G80" s="844" t="s">
        <v>236</v>
      </c>
      <c r="H80" s="845" t="s">
        <v>236</v>
      </c>
      <c r="I80" s="840"/>
      <c r="J80" s="840"/>
    </row>
    <row r="81" spans="1:10" x14ac:dyDescent="0.25">
      <c r="A81" s="843" t="s">
        <v>443</v>
      </c>
      <c r="B81" s="844">
        <v>0</v>
      </c>
      <c r="C81" s="844">
        <v>0</v>
      </c>
      <c r="D81" s="844">
        <v>0</v>
      </c>
      <c r="E81" s="844">
        <v>0</v>
      </c>
      <c r="F81" s="844">
        <v>0</v>
      </c>
      <c r="G81" s="844">
        <v>0</v>
      </c>
      <c r="H81" s="845">
        <v>0.84</v>
      </c>
      <c r="I81" s="840"/>
      <c r="J81" s="840"/>
    </row>
    <row r="82" spans="1:10" x14ac:dyDescent="0.25">
      <c r="A82" s="843" t="s">
        <v>215</v>
      </c>
      <c r="B82" s="844">
        <v>2.512</v>
      </c>
      <c r="C82" s="844">
        <v>9.9090000000000007</v>
      </c>
      <c r="D82" s="844">
        <v>0.1328</v>
      </c>
      <c r="E82" s="844">
        <v>0.62590000000000001</v>
      </c>
      <c r="F82" s="844">
        <v>1.155</v>
      </c>
      <c r="G82" s="844">
        <v>1.282</v>
      </c>
      <c r="H82" s="845">
        <v>36.26</v>
      </c>
      <c r="I82" s="840"/>
      <c r="J82" s="840"/>
    </row>
    <row r="83" spans="1:10" x14ac:dyDescent="0.25">
      <c r="A83" s="843" t="s">
        <v>371</v>
      </c>
      <c r="B83" s="844">
        <v>3.1097999999999999</v>
      </c>
      <c r="C83" s="844">
        <v>11.082000000000001</v>
      </c>
      <c r="D83" s="844">
        <v>0</v>
      </c>
      <c r="E83" s="844">
        <v>4.4565000000000001</v>
      </c>
      <c r="F83" s="844">
        <v>2.1930000000000001</v>
      </c>
      <c r="G83" s="844">
        <v>0.28299999999999997</v>
      </c>
      <c r="H83" s="845">
        <v>36.869999999999997</v>
      </c>
    </row>
    <row r="84" spans="1:10" x14ac:dyDescent="0.25">
      <c r="A84" s="853" t="s">
        <v>796</v>
      </c>
      <c r="B84" s="854">
        <v>41.707500000000003</v>
      </c>
      <c r="C84" s="854">
        <v>95.673000000000002</v>
      </c>
      <c r="D84" s="854">
        <v>9.1832999999999991</v>
      </c>
      <c r="E84" s="854">
        <v>11.701000000000001</v>
      </c>
      <c r="F84" s="854">
        <v>32.988</v>
      </c>
      <c r="G84" s="854">
        <v>3.1459999999999999</v>
      </c>
      <c r="H84" s="855">
        <v>411.2</v>
      </c>
    </row>
    <row r="85" spans="1:10" x14ac:dyDescent="0.25">
      <c r="A85" s="843" t="s">
        <v>372</v>
      </c>
      <c r="B85" s="844">
        <v>13.137700000000001</v>
      </c>
      <c r="C85" s="844">
        <v>0.161</v>
      </c>
      <c r="D85" s="844">
        <v>5.8103999999999996</v>
      </c>
      <c r="E85" s="844">
        <v>0.1108</v>
      </c>
      <c r="F85" s="844">
        <v>42.103999999999999</v>
      </c>
      <c r="G85" s="844">
        <v>0.46500000000000002</v>
      </c>
      <c r="H85" s="845">
        <v>61.788899999999998</v>
      </c>
    </row>
    <row r="86" spans="1:10" x14ac:dyDescent="0.25">
      <c r="A86" s="843" t="s">
        <v>542</v>
      </c>
      <c r="B86" s="844">
        <v>0.1041</v>
      </c>
      <c r="C86" s="844">
        <v>0</v>
      </c>
      <c r="D86" s="844">
        <v>0.31540000000000001</v>
      </c>
      <c r="E86" s="844">
        <v>0</v>
      </c>
      <c r="F86" s="844">
        <v>0</v>
      </c>
      <c r="G86" s="844">
        <v>0</v>
      </c>
      <c r="H86" s="845">
        <v>0.41949999999999998</v>
      </c>
    </row>
    <row r="87" spans="1:10" x14ac:dyDescent="0.25">
      <c r="A87" s="843" t="s">
        <v>373</v>
      </c>
      <c r="B87" s="844">
        <v>6.5494000000000003</v>
      </c>
      <c r="C87" s="844">
        <v>0.61699999999999999</v>
      </c>
      <c r="D87" s="844">
        <v>1.2331000000000001</v>
      </c>
      <c r="E87" s="844">
        <v>0.1515</v>
      </c>
      <c r="F87" s="844">
        <v>8.391</v>
      </c>
      <c r="G87" s="844">
        <v>0</v>
      </c>
      <c r="H87" s="845">
        <v>16.942</v>
      </c>
    </row>
    <row r="88" spans="1:10" x14ac:dyDescent="0.25">
      <c r="A88" s="843" t="s">
        <v>374</v>
      </c>
      <c r="B88" s="844">
        <v>0.58340000000000003</v>
      </c>
      <c r="C88" s="844">
        <v>5.5E-2</v>
      </c>
      <c r="D88" s="844">
        <v>0.30330000000000001</v>
      </c>
      <c r="E88" s="844">
        <v>0.18</v>
      </c>
      <c r="F88" s="844">
        <v>1.4390000000000001</v>
      </c>
      <c r="G88" s="844">
        <v>0</v>
      </c>
      <c r="H88" s="845">
        <v>2.5607000000000002</v>
      </c>
    </row>
    <row r="89" spans="1:10" x14ac:dyDescent="0.25">
      <c r="A89" s="843" t="s">
        <v>375</v>
      </c>
      <c r="B89" s="844">
        <v>1.2072000000000001</v>
      </c>
      <c r="C89" s="844">
        <v>0.27800000000000002</v>
      </c>
      <c r="D89" s="844">
        <v>0.45760000000000001</v>
      </c>
      <c r="E89" s="844">
        <v>0.19489999999999999</v>
      </c>
      <c r="F89" s="844">
        <v>0</v>
      </c>
      <c r="G89" s="844">
        <v>0</v>
      </c>
      <c r="H89" s="845">
        <v>2.1377000000000002</v>
      </c>
    </row>
    <row r="90" spans="1:10" x14ac:dyDescent="0.25">
      <c r="A90" s="843" t="s">
        <v>376</v>
      </c>
      <c r="B90" s="844">
        <v>0.54959999999999998</v>
      </c>
      <c r="C90" s="844">
        <v>0</v>
      </c>
      <c r="D90" s="844">
        <v>0.10879999999999999</v>
      </c>
      <c r="E90" s="844">
        <v>0</v>
      </c>
      <c r="F90" s="844">
        <v>0.44400000000000001</v>
      </c>
      <c r="G90" s="844">
        <v>0</v>
      </c>
      <c r="H90" s="845">
        <v>1.1024</v>
      </c>
    </row>
    <row r="91" spans="1:10" x14ac:dyDescent="0.25">
      <c r="A91" s="843" t="s">
        <v>543</v>
      </c>
      <c r="B91" s="844">
        <v>0.14369999999999999</v>
      </c>
      <c r="C91" s="844">
        <v>0</v>
      </c>
      <c r="D91" s="844">
        <v>0</v>
      </c>
      <c r="E91" s="844">
        <v>0</v>
      </c>
      <c r="F91" s="844">
        <v>0</v>
      </c>
      <c r="G91" s="844">
        <v>0</v>
      </c>
      <c r="H91" s="845">
        <v>0.14369999999999999</v>
      </c>
    </row>
    <row r="92" spans="1:10" x14ac:dyDescent="0.25">
      <c r="A92" s="843" t="s">
        <v>377</v>
      </c>
      <c r="B92" s="844">
        <v>3.6160000000000001</v>
      </c>
      <c r="C92" s="844">
        <v>0</v>
      </c>
      <c r="D92" s="844">
        <v>0.54530000000000001</v>
      </c>
      <c r="E92" s="844">
        <v>0</v>
      </c>
      <c r="F92" s="844">
        <v>6.351</v>
      </c>
      <c r="G92" s="844">
        <v>0</v>
      </c>
      <c r="H92" s="845">
        <v>10.5123</v>
      </c>
    </row>
    <row r="93" spans="1:10" x14ac:dyDescent="0.25">
      <c r="A93" s="853" t="s">
        <v>797</v>
      </c>
      <c r="B93" s="854">
        <v>24.098500000000001</v>
      </c>
      <c r="C93" s="854">
        <v>0.75600000000000001</v>
      </c>
      <c r="D93" s="854">
        <v>8.8114000000000008</v>
      </c>
      <c r="E93" s="854">
        <v>0.46060000000000001</v>
      </c>
      <c r="F93" s="854">
        <v>59.834000000000003</v>
      </c>
      <c r="G93" s="854">
        <v>0.51</v>
      </c>
      <c r="H93" s="855">
        <v>94.470500000000001</v>
      </c>
    </row>
    <row r="94" spans="1:10" hidden="1" x14ac:dyDescent="0.25">
      <c r="A94" s="843" t="s">
        <v>379</v>
      </c>
      <c r="B94" s="844">
        <v>0</v>
      </c>
      <c r="C94" s="844">
        <v>0</v>
      </c>
      <c r="D94" s="844">
        <v>0</v>
      </c>
      <c r="E94" s="844">
        <v>0</v>
      </c>
      <c r="F94" s="844">
        <v>1.002</v>
      </c>
      <c r="G94" s="844">
        <v>0</v>
      </c>
      <c r="H94" s="845">
        <v>1.002</v>
      </c>
    </row>
    <row r="95" spans="1:10" hidden="1" x14ac:dyDescent="0.25">
      <c r="A95" s="843" t="s">
        <v>378</v>
      </c>
      <c r="B95" s="844">
        <v>0</v>
      </c>
      <c r="C95" s="844">
        <v>0</v>
      </c>
      <c r="D95" s="844">
        <v>0</v>
      </c>
      <c r="E95" s="844">
        <v>0</v>
      </c>
      <c r="F95" s="844">
        <v>0</v>
      </c>
      <c r="G95" s="844">
        <v>0</v>
      </c>
      <c r="H95" s="845">
        <v>0</v>
      </c>
    </row>
    <row r="96" spans="1:10" hidden="1" x14ac:dyDescent="0.25">
      <c r="A96" s="843" t="s">
        <v>798</v>
      </c>
      <c r="B96" s="844">
        <v>0</v>
      </c>
      <c r="C96" s="844">
        <v>0</v>
      </c>
      <c r="D96" s="844">
        <v>0</v>
      </c>
      <c r="E96" s="844">
        <v>0</v>
      </c>
      <c r="F96" s="844">
        <v>0</v>
      </c>
      <c r="G96" s="844">
        <v>0</v>
      </c>
      <c r="H96" s="845">
        <v>0</v>
      </c>
    </row>
    <row r="97" spans="1:8" hidden="1" x14ac:dyDescent="0.25">
      <c r="A97" s="843" t="s">
        <v>380</v>
      </c>
      <c r="B97" s="844">
        <v>0</v>
      </c>
      <c r="C97" s="844">
        <v>0</v>
      </c>
      <c r="D97" s="844">
        <v>0</v>
      </c>
      <c r="E97" s="844">
        <v>0</v>
      </c>
      <c r="F97" s="844">
        <v>0</v>
      </c>
      <c r="G97" s="844">
        <v>0</v>
      </c>
      <c r="H97" s="845">
        <v>0</v>
      </c>
    </row>
    <row r="98" spans="1:8" hidden="1" x14ac:dyDescent="0.25">
      <c r="A98" s="853" t="s">
        <v>47</v>
      </c>
      <c r="B98" s="854">
        <v>0</v>
      </c>
      <c r="C98" s="854">
        <v>0</v>
      </c>
      <c r="D98" s="854">
        <v>0</v>
      </c>
      <c r="E98" s="854">
        <v>0</v>
      </c>
      <c r="F98" s="854">
        <v>1.002</v>
      </c>
      <c r="G98" s="854">
        <v>0</v>
      </c>
      <c r="H98" s="855">
        <v>1.002</v>
      </c>
    </row>
  </sheetData>
  <mergeCells count="2">
    <mergeCell ref="A52:H52"/>
    <mergeCell ref="A1:H1"/>
  </mergeCells>
  <phoneticPr fontId="21" type="noConversion"/>
  <printOptions horizontalCentered="1"/>
  <pageMargins left="0" right="0" top="1" bottom="0.75" header="0.33" footer="0.5"/>
  <pageSetup orientation="portrait" r:id="rId1"/>
  <headerFooter alignWithMargins="0">
    <oddHeader>&amp;C&amp;"Arial,Bold"&amp;12DEPARTMENT OF CORRECTIONS
 COST OF CARE Year 2019
(Based on Fiscal Year 2018 Actuals)</oddHeader>
    <oddFooter xml:space="preserve">&amp;L&amp;8&amp;F &amp;A&amp;R&amp;8&amp;D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A1:T615"/>
  <sheetViews>
    <sheetView topLeftCell="A293" workbookViewId="0">
      <selection activeCell="G315" sqref="G315"/>
    </sheetView>
  </sheetViews>
  <sheetFormatPr defaultRowHeight="12.75" x14ac:dyDescent="0.2"/>
  <cols>
    <col min="1" max="1" width="17.28515625" customWidth="1"/>
    <col min="2" max="2" width="6.7109375" customWidth="1"/>
    <col min="3" max="3" width="7.28515625" customWidth="1"/>
    <col min="4" max="5" width="9.42578125" bestFit="1" customWidth="1"/>
    <col min="6" max="6" width="8" customWidth="1"/>
    <col min="7" max="7" width="10.28515625" customWidth="1"/>
    <col min="8" max="8" width="7.85546875" customWidth="1"/>
    <col min="9" max="10" width="9.42578125" bestFit="1" customWidth="1"/>
    <col min="11" max="11" width="8.28515625" customWidth="1"/>
    <col min="12" max="12" width="9.42578125" bestFit="1" customWidth="1"/>
    <col min="13" max="13" width="6.7109375" customWidth="1"/>
    <col min="14" max="14" width="7.140625" customWidth="1"/>
    <col min="15" max="15" width="10.42578125" bestFit="1" customWidth="1"/>
    <col min="16" max="16" width="9.5703125" customWidth="1"/>
    <col min="17" max="17" width="9.7109375" customWidth="1"/>
    <col min="18" max="18" width="11.28515625" customWidth="1"/>
  </cols>
  <sheetData>
    <row r="1" spans="1:17" x14ac:dyDescent="0.2">
      <c r="A1" s="520"/>
      <c r="B1" s="520"/>
      <c r="C1" s="520"/>
      <c r="D1" s="520"/>
      <c r="E1" s="520"/>
      <c r="F1" s="520"/>
      <c r="G1" s="520"/>
      <c r="H1" s="520"/>
      <c r="I1" s="520"/>
      <c r="J1" s="520"/>
      <c r="K1" s="520"/>
      <c r="L1" s="520"/>
      <c r="M1" s="520"/>
      <c r="N1" s="520"/>
      <c r="O1" s="520"/>
      <c r="P1" s="520"/>
      <c r="Q1" s="520"/>
    </row>
    <row r="2" spans="1:17" ht="38.25" x14ac:dyDescent="0.2">
      <c r="A2" s="175" t="s">
        <v>391</v>
      </c>
      <c r="B2" s="176" t="s">
        <v>392</v>
      </c>
      <c r="C2" s="178" t="s">
        <v>393</v>
      </c>
      <c r="D2" s="178" t="s">
        <v>394</v>
      </c>
      <c r="E2" s="178" t="s">
        <v>395</v>
      </c>
      <c r="F2" s="178" t="s">
        <v>396</v>
      </c>
      <c r="G2" s="178" t="s">
        <v>397</v>
      </c>
      <c r="H2" s="178" t="s">
        <v>398</v>
      </c>
      <c r="I2" s="178" t="s">
        <v>399</v>
      </c>
      <c r="J2" s="178" t="s">
        <v>400</v>
      </c>
      <c r="K2" s="178" t="s">
        <v>401</v>
      </c>
      <c r="L2" s="178" t="s">
        <v>402</v>
      </c>
      <c r="M2" s="178" t="s">
        <v>403</v>
      </c>
      <c r="N2" s="178" t="s">
        <v>404</v>
      </c>
      <c r="O2" s="174" t="s">
        <v>405</v>
      </c>
      <c r="P2" s="521" t="s">
        <v>406</v>
      </c>
      <c r="Q2" s="521" t="s">
        <v>407</v>
      </c>
    </row>
    <row r="3" spans="1:17" x14ac:dyDescent="0.2">
      <c r="B3" t="s">
        <v>408</v>
      </c>
      <c r="C3">
        <v>1998</v>
      </c>
      <c r="D3">
        <v>2016</v>
      </c>
      <c r="E3">
        <v>1984</v>
      </c>
      <c r="F3">
        <v>2010</v>
      </c>
      <c r="G3">
        <v>2067</v>
      </c>
      <c r="H3">
        <v>2078</v>
      </c>
      <c r="I3">
        <v>2078</v>
      </c>
      <c r="J3">
        <v>2085</v>
      </c>
      <c r="K3">
        <v>2134</v>
      </c>
      <c r="L3">
        <v>2136</v>
      </c>
      <c r="M3">
        <v>2135</v>
      </c>
      <c r="N3">
        <v>2143</v>
      </c>
      <c r="O3">
        <f>SUM(C3:N3)/12</f>
        <v>2072</v>
      </c>
    </row>
    <row r="4" spans="1:17" x14ac:dyDescent="0.2">
      <c r="B4" t="s">
        <v>409</v>
      </c>
      <c r="C4">
        <v>2155</v>
      </c>
      <c r="D4">
        <v>2157</v>
      </c>
      <c r="E4">
        <v>2172</v>
      </c>
      <c r="F4">
        <v>2180</v>
      </c>
      <c r="G4">
        <v>2183</v>
      </c>
      <c r="H4">
        <v>2205</v>
      </c>
      <c r="I4">
        <v>2192</v>
      </c>
      <c r="J4">
        <v>2191</v>
      </c>
      <c r="K4">
        <v>2183</v>
      </c>
      <c r="L4">
        <v>2183</v>
      </c>
      <c r="M4">
        <v>2191</v>
      </c>
      <c r="N4">
        <v>2189</v>
      </c>
      <c r="O4" s="173">
        <f t="shared" ref="O4:O20" si="0">SUM(C4:N4)/12</f>
        <v>2181.75</v>
      </c>
      <c r="P4" s="173">
        <f t="shared" ref="P4:P18" si="1">SUM(O4-O3)</f>
        <v>109.75</v>
      </c>
      <c r="Q4" s="177">
        <f>SUM(P4/O3)</f>
        <v>5.2968146718146716E-2</v>
      </c>
    </row>
    <row r="5" spans="1:17" x14ac:dyDescent="0.2">
      <c r="B5" t="s">
        <v>410</v>
      </c>
      <c r="C5">
        <v>2201</v>
      </c>
      <c r="D5">
        <v>2233</v>
      </c>
      <c r="E5">
        <v>2235</v>
      </c>
      <c r="F5">
        <v>2252</v>
      </c>
      <c r="G5">
        <v>2259</v>
      </c>
      <c r="H5">
        <v>2271</v>
      </c>
      <c r="I5">
        <v>2271</v>
      </c>
      <c r="J5">
        <v>2307</v>
      </c>
      <c r="K5">
        <v>2319</v>
      </c>
      <c r="L5">
        <v>2331</v>
      </c>
      <c r="M5">
        <v>2343</v>
      </c>
      <c r="N5">
        <v>2355</v>
      </c>
      <c r="O5" s="173">
        <f t="shared" si="0"/>
        <v>2281.4166666666665</v>
      </c>
      <c r="P5" s="173">
        <f t="shared" si="1"/>
        <v>99.666666666666515</v>
      </c>
      <c r="Q5" s="177">
        <f t="shared" ref="Q5:Q10" si="2">SUM(P5/O4)</f>
        <v>4.5681983117527906E-2</v>
      </c>
    </row>
    <row r="6" spans="1:17" x14ac:dyDescent="0.2">
      <c r="B6" t="s">
        <v>244</v>
      </c>
      <c r="C6">
        <v>2324</v>
      </c>
      <c r="D6">
        <v>2433</v>
      </c>
      <c r="E6">
        <v>2266</v>
      </c>
      <c r="F6">
        <v>2266</v>
      </c>
      <c r="G6">
        <v>2306</v>
      </c>
      <c r="H6">
        <v>2306</v>
      </c>
      <c r="I6">
        <v>2306</v>
      </c>
      <c r="J6">
        <v>2334</v>
      </c>
      <c r="K6">
        <v>2230</v>
      </c>
      <c r="L6">
        <v>2230</v>
      </c>
      <c r="M6">
        <v>2230</v>
      </c>
      <c r="N6">
        <v>2230</v>
      </c>
      <c r="O6" s="173">
        <f t="shared" si="0"/>
        <v>2288.4166666666665</v>
      </c>
      <c r="P6" s="173">
        <f t="shared" si="1"/>
        <v>7</v>
      </c>
      <c r="Q6" s="177">
        <f t="shared" si="2"/>
        <v>3.0682689849143444E-3</v>
      </c>
    </row>
    <row r="7" spans="1:17" x14ac:dyDescent="0.2">
      <c r="B7" t="s">
        <v>243</v>
      </c>
      <c r="C7">
        <v>2408</v>
      </c>
      <c r="D7">
        <v>2335</v>
      </c>
      <c r="E7">
        <v>2353</v>
      </c>
      <c r="F7">
        <v>2353</v>
      </c>
      <c r="G7">
        <v>2311</v>
      </c>
      <c r="H7">
        <v>2367</v>
      </c>
      <c r="I7">
        <v>2367</v>
      </c>
      <c r="J7">
        <v>2352</v>
      </c>
      <c r="K7">
        <v>2336</v>
      </c>
      <c r="L7">
        <v>2336</v>
      </c>
      <c r="M7">
        <v>2292</v>
      </c>
      <c r="N7">
        <v>2318</v>
      </c>
      <c r="O7" s="173">
        <f t="shared" si="0"/>
        <v>2344</v>
      </c>
      <c r="P7" s="173">
        <f t="shared" si="1"/>
        <v>55.583333333333485</v>
      </c>
      <c r="Q7" s="177">
        <f t="shared" si="2"/>
        <v>2.4288991660900983E-2</v>
      </c>
    </row>
    <row r="8" spans="1:17" x14ac:dyDescent="0.2">
      <c r="B8" t="s">
        <v>264</v>
      </c>
      <c r="C8">
        <v>2312</v>
      </c>
      <c r="D8">
        <v>2305</v>
      </c>
      <c r="E8">
        <v>2318</v>
      </c>
      <c r="F8">
        <v>2318</v>
      </c>
      <c r="G8">
        <v>2350</v>
      </c>
      <c r="H8">
        <v>2314</v>
      </c>
      <c r="I8">
        <v>2314</v>
      </c>
      <c r="J8">
        <v>2426</v>
      </c>
      <c r="K8">
        <v>2400</v>
      </c>
      <c r="L8">
        <v>2454</v>
      </c>
      <c r="M8">
        <v>2536</v>
      </c>
      <c r="N8">
        <v>2334</v>
      </c>
      <c r="O8" s="173">
        <f t="shared" si="0"/>
        <v>2365.0833333333335</v>
      </c>
      <c r="P8" s="173">
        <f t="shared" si="1"/>
        <v>21.083333333333485</v>
      </c>
      <c r="Q8" s="177">
        <f t="shared" si="2"/>
        <v>8.9945961319682095E-3</v>
      </c>
    </row>
    <row r="9" spans="1:17" x14ac:dyDescent="0.2">
      <c r="B9" t="s">
        <v>274</v>
      </c>
      <c r="C9">
        <v>2357</v>
      </c>
      <c r="D9">
        <v>2384</v>
      </c>
      <c r="E9">
        <v>2387</v>
      </c>
      <c r="F9">
        <v>2410</v>
      </c>
      <c r="G9">
        <v>2414</v>
      </c>
      <c r="H9">
        <v>2444</v>
      </c>
      <c r="I9">
        <v>2444</v>
      </c>
      <c r="J9">
        <v>2433</v>
      </c>
      <c r="K9">
        <v>2417</v>
      </c>
      <c r="L9">
        <v>2424</v>
      </c>
      <c r="M9">
        <v>2443</v>
      </c>
      <c r="N9">
        <v>2445</v>
      </c>
      <c r="O9" s="173">
        <f t="shared" si="0"/>
        <v>2416.8333333333335</v>
      </c>
      <c r="P9" s="173">
        <f t="shared" si="1"/>
        <v>51.75</v>
      </c>
      <c r="Q9" s="177">
        <f t="shared" si="2"/>
        <v>2.1880835770409779E-2</v>
      </c>
    </row>
    <row r="10" spans="1:17" x14ac:dyDescent="0.2">
      <c r="B10" t="s">
        <v>277</v>
      </c>
      <c r="C10">
        <v>2453</v>
      </c>
      <c r="D10">
        <v>2437</v>
      </c>
      <c r="E10">
        <v>2420</v>
      </c>
      <c r="F10">
        <v>2487</v>
      </c>
      <c r="G10">
        <v>2437</v>
      </c>
      <c r="H10">
        <v>2479</v>
      </c>
      <c r="I10">
        <v>2466</v>
      </c>
      <c r="J10">
        <v>2488</v>
      </c>
      <c r="K10">
        <v>2477</v>
      </c>
      <c r="L10">
        <v>2562</v>
      </c>
      <c r="M10">
        <v>2557</v>
      </c>
      <c r="N10">
        <v>2455</v>
      </c>
      <c r="O10" s="173">
        <f t="shared" si="0"/>
        <v>2476.5</v>
      </c>
      <c r="P10" s="173">
        <f t="shared" si="1"/>
        <v>59.666666666666515</v>
      </c>
      <c r="Q10" s="177">
        <f t="shared" si="2"/>
        <v>2.4687952554996142E-2</v>
      </c>
    </row>
    <row r="11" spans="1:17" x14ac:dyDescent="0.2">
      <c r="B11" t="s">
        <v>278</v>
      </c>
      <c r="C11">
        <v>2495</v>
      </c>
      <c r="D11">
        <v>2542</v>
      </c>
      <c r="E11">
        <v>2644</v>
      </c>
      <c r="F11">
        <v>2580</v>
      </c>
      <c r="G11">
        <v>2273</v>
      </c>
      <c r="H11">
        <v>2302</v>
      </c>
      <c r="I11">
        <v>2395</v>
      </c>
      <c r="J11">
        <v>2404</v>
      </c>
      <c r="K11">
        <v>2394</v>
      </c>
      <c r="L11">
        <v>2426</v>
      </c>
      <c r="M11">
        <v>2689</v>
      </c>
      <c r="N11">
        <v>2739</v>
      </c>
      <c r="O11" s="173">
        <f t="shared" si="0"/>
        <v>2490.25</v>
      </c>
      <c r="P11" s="173">
        <f t="shared" si="1"/>
        <v>13.75</v>
      </c>
      <c r="Q11" s="177">
        <f t="shared" ref="Q11:Q16" si="3">SUM(P11/O10)</f>
        <v>5.5521905915606705E-3</v>
      </c>
    </row>
    <row r="12" spans="1:17" x14ac:dyDescent="0.2">
      <c r="B12" t="s">
        <v>279</v>
      </c>
      <c r="C12">
        <v>2704</v>
      </c>
      <c r="D12">
        <v>2698</v>
      </c>
      <c r="E12">
        <v>2694</v>
      </c>
      <c r="F12">
        <v>2677</v>
      </c>
      <c r="G12">
        <v>2732</v>
      </c>
      <c r="H12">
        <v>2755</v>
      </c>
      <c r="I12">
        <v>2778</v>
      </c>
      <c r="J12">
        <v>2778</v>
      </c>
      <c r="K12">
        <v>2775</v>
      </c>
      <c r="L12">
        <v>2782</v>
      </c>
      <c r="M12">
        <v>2819</v>
      </c>
      <c r="N12">
        <v>2864</v>
      </c>
      <c r="O12" s="173">
        <f t="shared" si="0"/>
        <v>2754.6666666666665</v>
      </c>
      <c r="P12" s="173">
        <f t="shared" si="1"/>
        <v>264.41666666666652</v>
      </c>
      <c r="Q12" s="177">
        <f t="shared" si="3"/>
        <v>0.10618077167620379</v>
      </c>
    </row>
    <row r="13" spans="1:17" x14ac:dyDescent="0.2">
      <c r="B13" t="s">
        <v>317</v>
      </c>
      <c r="C13">
        <v>2871</v>
      </c>
      <c r="D13">
        <v>2904</v>
      </c>
      <c r="E13">
        <v>2884</v>
      </c>
      <c r="F13">
        <v>2895</v>
      </c>
      <c r="G13">
        <v>2826</v>
      </c>
      <c r="H13">
        <v>2865</v>
      </c>
      <c r="I13">
        <v>2853</v>
      </c>
      <c r="J13">
        <v>2903</v>
      </c>
      <c r="K13">
        <v>2885</v>
      </c>
      <c r="L13">
        <v>2910</v>
      </c>
      <c r="M13">
        <v>2930</v>
      </c>
      <c r="N13">
        <v>2884</v>
      </c>
      <c r="O13" s="173">
        <f t="shared" si="0"/>
        <v>2884.1666666666665</v>
      </c>
      <c r="P13" s="173">
        <f t="shared" si="1"/>
        <v>129.5</v>
      </c>
      <c r="Q13" s="177">
        <f t="shared" si="3"/>
        <v>4.7011132623426911E-2</v>
      </c>
    </row>
    <row r="14" spans="1:17" x14ac:dyDescent="0.2">
      <c r="B14" t="s">
        <v>338</v>
      </c>
      <c r="C14">
        <v>2896</v>
      </c>
      <c r="D14">
        <v>2980</v>
      </c>
      <c r="E14">
        <v>2969</v>
      </c>
      <c r="F14">
        <v>2961</v>
      </c>
      <c r="G14">
        <v>3022</v>
      </c>
      <c r="H14">
        <v>3037</v>
      </c>
      <c r="I14">
        <v>3049</v>
      </c>
      <c r="J14">
        <v>3076</v>
      </c>
      <c r="K14">
        <v>3088</v>
      </c>
      <c r="L14">
        <v>3074</v>
      </c>
      <c r="M14">
        <v>3058</v>
      </c>
      <c r="N14">
        <v>2954</v>
      </c>
      <c r="O14" s="173">
        <f t="shared" si="0"/>
        <v>3013.6666666666665</v>
      </c>
      <c r="P14" s="173">
        <f t="shared" si="1"/>
        <v>129.5</v>
      </c>
      <c r="Q14" s="177">
        <f t="shared" si="3"/>
        <v>4.4900317827217567E-2</v>
      </c>
    </row>
    <row r="15" spans="1:17" x14ac:dyDescent="0.2">
      <c r="B15" t="s">
        <v>411</v>
      </c>
      <c r="C15">
        <v>3027</v>
      </c>
      <c r="D15">
        <v>3039</v>
      </c>
      <c r="E15">
        <v>3034</v>
      </c>
      <c r="F15">
        <v>3040</v>
      </c>
      <c r="G15">
        <v>3022</v>
      </c>
      <c r="H15">
        <v>3057</v>
      </c>
      <c r="I15">
        <v>3074</v>
      </c>
      <c r="J15">
        <v>3088</v>
      </c>
      <c r="K15">
        <v>3056</v>
      </c>
      <c r="L15">
        <v>3094</v>
      </c>
      <c r="M15">
        <v>3138</v>
      </c>
      <c r="N15">
        <v>3130</v>
      </c>
      <c r="O15" s="173">
        <f t="shared" si="0"/>
        <v>3066.5833333333335</v>
      </c>
      <c r="P15" s="173">
        <f t="shared" si="1"/>
        <v>52.91666666666697</v>
      </c>
      <c r="Q15" s="177">
        <f t="shared" si="3"/>
        <v>1.7558898351952318E-2</v>
      </c>
    </row>
    <row r="16" spans="1:17" x14ac:dyDescent="0.2">
      <c r="B16" t="s">
        <v>445</v>
      </c>
      <c r="C16">
        <v>3123</v>
      </c>
      <c r="D16">
        <v>3065</v>
      </c>
      <c r="E16">
        <v>3115</v>
      </c>
      <c r="F16">
        <v>3134</v>
      </c>
      <c r="G16">
        <v>3160</v>
      </c>
      <c r="H16">
        <v>3165</v>
      </c>
      <c r="I16">
        <v>3166</v>
      </c>
      <c r="J16">
        <v>3187</v>
      </c>
      <c r="K16">
        <v>3069</v>
      </c>
      <c r="L16">
        <v>3020</v>
      </c>
      <c r="M16">
        <v>3040</v>
      </c>
      <c r="N16">
        <v>3070</v>
      </c>
      <c r="O16" s="173">
        <f t="shared" si="0"/>
        <v>3109.5</v>
      </c>
      <c r="P16" s="173">
        <f t="shared" si="1"/>
        <v>42.916666666666515</v>
      </c>
      <c r="Q16" s="177">
        <f t="shared" si="3"/>
        <v>1.3994945514823722E-2</v>
      </c>
    </row>
    <row r="17" spans="1:17" x14ac:dyDescent="0.2">
      <c r="B17" t="s">
        <v>510</v>
      </c>
      <c r="C17">
        <v>3068</v>
      </c>
      <c r="D17">
        <v>3065</v>
      </c>
      <c r="E17">
        <v>3103</v>
      </c>
      <c r="F17">
        <v>3034</v>
      </c>
      <c r="G17">
        <v>3036</v>
      </c>
      <c r="H17">
        <v>3045</v>
      </c>
      <c r="I17">
        <v>3049</v>
      </c>
      <c r="J17">
        <v>3041</v>
      </c>
      <c r="K17">
        <v>2986</v>
      </c>
      <c r="L17">
        <v>2936</v>
      </c>
      <c r="M17">
        <v>2897</v>
      </c>
      <c r="N17">
        <v>2906</v>
      </c>
      <c r="O17" s="173">
        <f t="shared" si="0"/>
        <v>3013.8333333333335</v>
      </c>
      <c r="P17" s="173">
        <f t="shared" si="1"/>
        <v>-95.666666666666515</v>
      </c>
      <c r="Q17" s="177">
        <f>SUM(P17/O16)</f>
        <v>-3.0765932357828114E-2</v>
      </c>
    </row>
    <row r="18" spans="1:17" x14ac:dyDescent="0.2">
      <c r="B18" t="s">
        <v>546</v>
      </c>
      <c r="C18">
        <v>2911</v>
      </c>
      <c r="D18">
        <v>2880</v>
      </c>
      <c r="E18">
        <v>2853</v>
      </c>
      <c r="F18">
        <v>2835</v>
      </c>
      <c r="G18">
        <v>2828</v>
      </c>
      <c r="H18">
        <v>2758</v>
      </c>
      <c r="I18">
        <v>2810</v>
      </c>
      <c r="J18">
        <v>2815</v>
      </c>
      <c r="K18">
        <v>2770</v>
      </c>
      <c r="L18">
        <v>2722</v>
      </c>
      <c r="M18">
        <v>2761</v>
      </c>
      <c r="N18">
        <v>2747</v>
      </c>
      <c r="O18" s="173">
        <f t="shared" si="0"/>
        <v>2807.5</v>
      </c>
      <c r="P18" s="173">
        <f t="shared" si="1"/>
        <v>-206.33333333333348</v>
      </c>
      <c r="Q18" s="177">
        <f>SUM(P18/O17)</f>
        <v>-6.846209146712387E-2</v>
      </c>
    </row>
    <row r="19" spans="1:17" x14ac:dyDescent="0.2">
      <c r="B19" t="s">
        <v>547</v>
      </c>
      <c r="C19">
        <v>2607</v>
      </c>
      <c r="D19">
        <v>2654</v>
      </c>
      <c r="E19">
        <v>2602</v>
      </c>
      <c r="F19">
        <v>2660</v>
      </c>
      <c r="G19">
        <v>2612</v>
      </c>
      <c r="H19">
        <v>2542</v>
      </c>
      <c r="I19">
        <v>2515</v>
      </c>
      <c r="J19">
        <v>2539</v>
      </c>
      <c r="K19">
        <v>2614</v>
      </c>
      <c r="L19">
        <v>2633</v>
      </c>
      <c r="M19">
        <v>2586</v>
      </c>
      <c r="N19">
        <v>2590</v>
      </c>
      <c r="O19" s="173">
        <f t="shared" si="0"/>
        <v>2596.1666666666665</v>
      </c>
      <c r="P19" s="173">
        <f>SUM(O19-O18)</f>
        <v>-211.33333333333348</v>
      </c>
      <c r="Q19" s="177">
        <f>SUM(P19/O18)</f>
        <v>-7.5274562184624569E-2</v>
      </c>
    </row>
    <row r="20" spans="1:17" x14ac:dyDescent="0.2">
      <c r="B20" t="s">
        <v>817</v>
      </c>
      <c r="C20">
        <v>2481</v>
      </c>
      <c r="D20">
        <v>2502</v>
      </c>
      <c r="E20">
        <v>2560</v>
      </c>
      <c r="F20">
        <v>2577</v>
      </c>
      <c r="G20">
        <v>2485</v>
      </c>
      <c r="H20">
        <v>2505</v>
      </c>
      <c r="I20">
        <v>2521</v>
      </c>
      <c r="J20">
        <v>2517</v>
      </c>
      <c r="K20">
        <v>2505</v>
      </c>
      <c r="L20">
        <v>2411</v>
      </c>
      <c r="M20">
        <v>2387</v>
      </c>
      <c r="N20">
        <v>2391</v>
      </c>
      <c r="O20" s="173">
        <f t="shared" si="0"/>
        <v>2486.8333333333335</v>
      </c>
      <c r="P20" s="173">
        <f>SUM(O20-O19)</f>
        <v>-109.33333333333303</v>
      </c>
      <c r="Q20" s="177">
        <f>SUM(P20/O19)</f>
        <v>-4.2113372279642951E-2</v>
      </c>
    </row>
    <row r="21" spans="1:17" x14ac:dyDescent="0.2">
      <c r="B21" t="s">
        <v>818</v>
      </c>
      <c r="C21">
        <v>2371</v>
      </c>
      <c r="D21">
        <v>2284</v>
      </c>
      <c r="E21">
        <v>2184</v>
      </c>
      <c r="F21">
        <v>2132</v>
      </c>
      <c r="G21">
        <v>2074</v>
      </c>
      <c r="H21">
        <v>2090</v>
      </c>
      <c r="I21">
        <v>2073</v>
      </c>
      <c r="J21">
        <v>2027</v>
      </c>
      <c r="K21">
        <v>2025</v>
      </c>
      <c r="L21">
        <v>1974</v>
      </c>
      <c r="M21">
        <v>1935</v>
      </c>
      <c r="N21">
        <v>1936</v>
      </c>
      <c r="O21" s="173">
        <f>SUM(C21:N21)/12</f>
        <v>2092.0833333333335</v>
      </c>
      <c r="P21" s="173">
        <f>SUM(O21-O20)</f>
        <v>-394.75</v>
      </c>
      <c r="Q21" s="177">
        <f>SUM(P21/O20)</f>
        <v>-0.15873600965082768</v>
      </c>
    </row>
    <row r="22" spans="1:17" x14ac:dyDescent="0.2">
      <c r="B22" t="s">
        <v>899</v>
      </c>
      <c r="C22">
        <v>1870</v>
      </c>
      <c r="D22">
        <v>1789</v>
      </c>
      <c r="E22">
        <v>1774</v>
      </c>
      <c r="F22">
        <v>1739</v>
      </c>
      <c r="O22" s="173"/>
      <c r="P22" s="173"/>
      <c r="Q22" s="177"/>
    </row>
    <row r="23" spans="1:17" ht="25.5" x14ac:dyDescent="0.2">
      <c r="A23" s="175" t="s">
        <v>412</v>
      </c>
      <c r="B23" s="176" t="s">
        <v>392</v>
      </c>
      <c r="C23" s="178" t="s">
        <v>393</v>
      </c>
      <c r="D23" s="178" t="s">
        <v>394</v>
      </c>
      <c r="E23" s="178" t="s">
        <v>395</v>
      </c>
      <c r="F23" s="178" t="s">
        <v>396</v>
      </c>
      <c r="G23" s="178" t="s">
        <v>397</v>
      </c>
      <c r="H23" s="178" t="s">
        <v>398</v>
      </c>
      <c r="I23" s="178" t="s">
        <v>399</v>
      </c>
      <c r="J23" s="178" t="s">
        <v>400</v>
      </c>
      <c r="K23" s="178" t="s">
        <v>401</v>
      </c>
      <c r="L23" s="178" t="s">
        <v>402</v>
      </c>
      <c r="M23" s="178" t="s">
        <v>403</v>
      </c>
      <c r="N23" s="178" t="s">
        <v>404</v>
      </c>
    </row>
    <row r="24" spans="1:17" x14ac:dyDescent="0.2">
      <c r="B24" t="s">
        <v>408</v>
      </c>
      <c r="C24">
        <v>83</v>
      </c>
      <c r="D24">
        <v>80</v>
      </c>
      <c r="E24">
        <v>74</v>
      </c>
      <c r="F24">
        <v>78</v>
      </c>
      <c r="G24">
        <v>79</v>
      </c>
      <c r="H24">
        <v>81</v>
      </c>
      <c r="I24">
        <v>82</v>
      </c>
      <c r="J24">
        <v>83</v>
      </c>
      <c r="K24">
        <v>82</v>
      </c>
      <c r="L24">
        <v>83</v>
      </c>
      <c r="M24">
        <v>85</v>
      </c>
      <c r="N24">
        <v>87</v>
      </c>
      <c r="O24" s="173">
        <f t="shared" ref="O24:O32" si="4">SUM(C24:N24)/12</f>
        <v>81.416666666666671</v>
      </c>
      <c r="P24" s="173"/>
    </row>
    <row r="25" spans="1:17" x14ac:dyDescent="0.2">
      <c r="B25" t="s">
        <v>409</v>
      </c>
      <c r="C25">
        <v>92</v>
      </c>
      <c r="D25">
        <v>93</v>
      </c>
      <c r="E25">
        <v>94</v>
      </c>
      <c r="F25">
        <v>97</v>
      </c>
      <c r="G25">
        <v>98</v>
      </c>
      <c r="H25">
        <v>95</v>
      </c>
      <c r="I25">
        <v>89</v>
      </c>
      <c r="J25">
        <v>93</v>
      </c>
      <c r="K25">
        <v>90</v>
      </c>
      <c r="L25">
        <v>97</v>
      </c>
      <c r="M25">
        <v>99</v>
      </c>
      <c r="N25">
        <v>92</v>
      </c>
      <c r="O25" s="173">
        <f t="shared" si="4"/>
        <v>94.083333333333329</v>
      </c>
      <c r="P25" s="173">
        <f t="shared" ref="P25:P32" si="5">SUM(O25-O24)</f>
        <v>12.666666666666657</v>
      </c>
      <c r="Q25" s="177">
        <f t="shared" ref="Q25:Q31" si="6">SUM(P25/O24)</f>
        <v>0.15557830092118718</v>
      </c>
    </row>
    <row r="26" spans="1:17" x14ac:dyDescent="0.2">
      <c r="B26" t="s">
        <v>410</v>
      </c>
      <c r="C26">
        <v>90</v>
      </c>
      <c r="D26">
        <v>91</v>
      </c>
      <c r="E26">
        <v>92</v>
      </c>
      <c r="F26">
        <v>100</v>
      </c>
      <c r="G26">
        <v>99</v>
      </c>
      <c r="H26">
        <v>111</v>
      </c>
      <c r="I26">
        <v>102</v>
      </c>
      <c r="J26">
        <v>94</v>
      </c>
      <c r="K26">
        <v>96</v>
      </c>
      <c r="L26">
        <v>98</v>
      </c>
      <c r="M26">
        <v>93</v>
      </c>
      <c r="N26">
        <v>89</v>
      </c>
      <c r="O26" s="173">
        <f t="shared" si="4"/>
        <v>96.25</v>
      </c>
      <c r="P26" s="173">
        <f t="shared" si="5"/>
        <v>2.1666666666666714</v>
      </c>
      <c r="Q26" s="177">
        <f t="shared" si="6"/>
        <v>2.3029229406554524E-2</v>
      </c>
    </row>
    <row r="27" spans="1:17" x14ac:dyDescent="0.2">
      <c r="B27" t="s">
        <v>244</v>
      </c>
      <c r="C27">
        <v>72</v>
      </c>
      <c r="D27">
        <v>74</v>
      </c>
      <c r="E27">
        <v>73</v>
      </c>
      <c r="F27">
        <v>73</v>
      </c>
      <c r="G27">
        <v>73</v>
      </c>
      <c r="H27">
        <v>73</v>
      </c>
      <c r="I27">
        <v>73</v>
      </c>
      <c r="J27">
        <v>65</v>
      </c>
      <c r="K27">
        <v>65</v>
      </c>
      <c r="L27">
        <v>65</v>
      </c>
      <c r="M27">
        <v>65</v>
      </c>
      <c r="N27">
        <v>60</v>
      </c>
      <c r="O27" s="173">
        <f t="shared" si="4"/>
        <v>69.25</v>
      </c>
      <c r="P27" s="173">
        <f t="shared" si="5"/>
        <v>-27</v>
      </c>
      <c r="Q27" s="177">
        <f t="shared" si="6"/>
        <v>-0.2805194805194805</v>
      </c>
    </row>
    <row r="28" spans="1:17" x14ac:dyDescent="0.2">
      <c r="B28" t="s">
        <v>243</v>
      </c>
      <c r="C28">
        <v>59</v>
      </c>
      <c r="D28">
        <v>58</v>
      </c>
      <c r="E28">
        <v>59</v>
      </c>
      <c r="F28">
        <v>60</v>
      </c>
      <c r="G28">
        <v>56</v>
      </c>
      <c r="H28">
        <v>54</v>
      </c>
      <c r="I28">
        <v>54</v>
      </c>
      <c r="J28">
        <v>51</v>
      </c>
      <c r="K28">
        <v>53</v>
      </c>
      <c r="L28">
        <v>59</v>
      </c>
      <c r="M28">
        <v>64</v>
      </c>
      <c r="N28">
        <v>62</v>
      </c>
      <c r="O28" s="173">
        <f t="shared" si="4"/>
        <v>57.416666666666664</v>
      </c>
      <c r="P28" s="173">
        <f t="shared" si="5"/>
        <v>-11.833333333333336</v>
      </c>
      <c r="Q28" s="177">
        <f t="shared" si="6"/>
        <v>-0.17087845968712398</v>
      </c>
    </row>
    <row r="29" spans="1:17" x14ac:dyDescent="0.2">
      <c r="B29" t="s">
        <v>264</v>
      </c>
      <c r="C29">
        <v>66</v>
      </c>
      <c r="D29">
        <v>68</v>
      </c>
      <c r="E29">
        <v>66</v>
      </c>
      <c r="F29">
        <v>65</v>
      </c>
      <c r="G29">
        <v>63</v>
      </c>
      <c r="H29">
        <v>68</v>
      </c>
      <c r="I29">
        <v>63</v>
      </c>
      <c r="J29">
        <v>57</v>
      </c>
      <c r="K29">
        <v>45</v>
      </c>
      <c r="L29">
        <v>45</v>
      </c>
      <c r="M29">
        <v>47</v>
      </c>
      <c r="N29">
        <v>49</v>
      </c>
      <c r="O29" s="173">
        <f t="shared" si="4"/>
        <v>58.5</v>
      </c>
      <c r="P29" s="173">
        <f t="shared" si="5"/>
        <v>1.0833333333333357</v>
      </c>
      <c r="Q29" s="177">
        <f t="shared" si="6"/>
        <v>1.8867924528301928E-2</v>
      </c>
    </row>
    <row r="30" spans="1:17" x14ac:dyDescent="0.2">
      <c r="B30" t="s">
        <v>274</v>
      </c>
      <c r="C30">
        <v>47</v>
      </c>
      <c r="D30">
        <v>45</v>
      </c>
      <c r="E30">
        <v>45</v>
      </c>
      <c r="F30">
        <v>47</v>
      </c>
      <c r="G30">
        <v>47</v>
      </c>
      <c r="H30">
        <v>42</v>
      </c>
      <c r="I30">
        <v>40</v>
      </c>
      <c r="J30">
        <v>42</v>
      </c>
      <c r="K30">
        <v>47</v>
      </c>
      <c r="L30">
        <v>46</v>
      </c>
      <c r="M30">
        <v>41</v>
      </c>
      <c r="N30">
        <v>39</v>
      </c>
      <c r="O30" s="173">
        <f t="shared" si="4"/>
        <v>44</v>
      </c>
      <c r="P30" s="173">
        <f t="shared" si="5"/>
        <v>-14.5</v>
      </c>
      <c r="Q30" s="177">
        <f t="shared" si="6"/>
        <v>-0.24786324786324787</v>
      </c>
    </row>
    <row r="31" spans="1:17" x14ac:dyDescent="0.2">
      <c r="B31" t="s">
        <v>277</v>
      </c>
      <c r="C31">
        <v>40</v>
      </c>
      <c r="D31">
        <v>40</v>
      </c>
      <c r="E31">
        <v>40</v>
      </c>
      <c r="F31">
        <v>43</v>
      </c>
      <c r="G31">
        <v>37</v>
      </c>
      <c r="H31">
        <v>38</v>
      </c>
      <c r="I31">
        <v>37</v>
      </c>
      <c r="J31">
        <v>39</v>
      </c>
      <c r="K31">
        <v>41</v>
      </c>
      <c r="L31">
        <v>51</v>
      </c>
      <c r="M31">
        <v>50</v>
      </c>
      <c r="N31">
        <v>37</v>
      </c>
      <c r="O31" s="173">
        <f t="shared" si="4"/>
        <v>41.083333333333336</v>
      </c>
      <c r="P31" s="173">
        <f t="shared" si="5"/>
        <v>-2.9166666666666643</v>
      </c>
      <c r="Q31" s="177">
        <f t="shared" si="6"/>
        <v>-6.6287878787878729E-2</v>
      </c>
    </row>
    <row r="32" spans="1:17" x14ac:dyDescent="0.2">
      <c r="B32" t="s">
        <v>278</v>
      </c>
      <c r="C32">
        <v>39</v>
      </c>
      <c r="D32">
        <v>39</v>
      </c>
      <c r="E32">
        <v>44</v>
      </c>
      <c r="F32">
        <v>39</v>
      </c>
      <c r="G32">
        <v>42</v>
      </c>
      <c r="H32">
        <v>41</v>
      </c>
      <c r="I32">
        <v>40</v>
      </c>
      <c r="J32">
        <v>37</v>
      </c>
      <c r="K32">
        <v>36</v>
      </c>
      <c r="L32">
        <v>36</v>
      </c>
      <c r="M32">
        <v>40</v>
      </c>
      <c r="N32">
        <v>41</v>
      </c>
      <c r="O32" s="173">
        <f t="shared" si="4"/>
        <v>39.5</v>
      </c>
      <c r="P32" s="173">
        <f t="shared" si="5"/>
        <v>-1.5833333333333357</v>
      </c>
      <c r="Q32" s="177">
        <f t="shared" ref="Q32:Q38" si="7">SUM(P32/O31)</f>
        <v>-3.8539553752535552E-2</v>
      </c>
    </row>
    <row r="33" spans="1:18" x14ac:dyDescent="0.2">
      <c r="B33" t="s">
        <v>279</v>
      </c>
      <c r="C33">
        <v>32</v>
      </c>
      <c r="D33">
        <v>34</v>
      </c>
      <c r="E33">
        <v>31</v>
      </c>
      <c r="F33">
        <v>32</v>
      </c>
      <c r="G33">
        <v>33</v>
      </c>
      <c r="H33">
        <v>31</v>
      </c>
      <c r="I33">
        <v>31</v>
      </c>
      <c r="J33">
        <v>31</v>
      </c>
      <c r="K33">
        <v>34</v>
      </c>
      <c r="L33">
        <v>36</v>
      </c>
      <c r="M33">
        <v>40</v>
      </c>
      <c r="N33">
        <v>39</v>
      </c>
      <c r="O33" s="173">
        <f>SUM(C33:N33)/12</f>
        <v>33.666666666666664</v>
      </c>
      <c r="P33" s="173">
        <f t="shared" ref="P33:P38" si="8">SUM(O33-O32)</f>
        <v>-5.8333333333333357</v>
      </c>
      <c r="Q33" s="177">
        <f t="shared" si="7"/>
        <v>-0.14767932489451482</v>
      </c>
    </row>
    <row r="34" spans="1:18" x14ac:dyDescent="0.2">
      <c r="B34" t="s">
        <v>317</v>
      </c>
      <c r="C34">
        <v>43</v>
      </c>
      <c r="D34">
        <v>43</v>
      </c>
      <c r="E34">
        <v>41</v>
      </c>
      <c r="F34">
        <v>0</v>
      </c>
      <c r="G34">
        <v>0</v>
      </c>
      <c r="H34">
        <v>0</v>
      </c>
      <c r="I34">
        <v>35</v>
      </c>
      <c r="J34">
        <v>35</v>
      </c>
      <c r="K34">
        <v>38</v>
      </c>
      <c r="L34">
        <v>36</v>
      </c>
      <c r="M34">
        <v>35</v>
      </c>
      <c r="N34">
        <v>32</v>
      </c>
      <c r="O34" s="173">
        <f>SUM(C34:N34)/9</f>
        <v>37.555555555555557</v>
      </c>
      <c r="P34" s="173">
        <f t="shared" si="8"/>
        <v>3.8888888888888928</v>
      </c>
      <c r="Q34" s="177">
        <f t="shared" si="7"/>
        <v>0.11551155115511563</v>
      </c>
    </row>
    <row r="35" spans="1:18" x14ac:dyDescent="0.2">
      <c r="B35" t="s">
        <v>338</v>
      </c>
      <c r="C35">
        <v>32</v>
      </c>
      <c r="D35">
        <v>33</v>
      </c>
      <c r="E35">
        <v>46</v>
      </c>
      <c r="F35">
        <v>60</v>
      </c>
      <c r="G35">
        <v>63</v>
      </c>
      <c r="H35">
        <v>62</v>
      </c>
      <c r="I35">
        <v>63</v>
      </c>
      <c r="J35">
        <v>64</v>
      </c>
      <c r="K35">
        <v>61</v>
      </c>
      <c r="L35">
        <v>60</v>
      </c>
      <c r="M35">
        <v>67</v>
      </c>
      <c r="N35">
        <v>70</v>
      </c>
      <c r="O35" s="173">
        <f t="shared" ref="O35:O42" si="9">SUM(C35:N35)/12</f>
        <v>56.75</v>
      </c>
      <c r="P35" s="173">
        <f t="shared" si="8"/>
        <v>19.194444444444443</v>
      </c>
      <c r="Q35" s="177">
        <f t="shared" si="7"/>
        <v>0.51109467455621294</v>
      </c>
    </row>
    <row r="36" spans="1:18" x14ac:dyDescent="0.2">
      <c r="B36" t="s">
        <v>411</v>
      </c>
      <c r="C36">
        <v>68</v>
      </c>
      <c r="D36">
        <v>65</v>
      </c>
      <c r="E36">
        <v>62</v>
      </c>
      <c r="F36">
        <v>61</v>
      </c>
      <c r="G36">
        <v>65</v>
      </c>
      <c r="H36">
        <v>66</v>
      </c>
      <c r="I36">
        <v>68</v>
      </c>
      <c r="J36">
        <v>66</v>
      </c>
      <c r="K36">
        <v>70</v>
      </c>
      <c r="L36">
        <v>68</v>
      </c>
      <c r="M36">
        <v>65</v>
      </c>
      <c r="N36">
        <v>68</v>
      </c>
      <c r="O36" s="173">
        <f t="shared" si="9"/>
        <v>66</v>
      </c>
      <c r="P36" s="173">
        <f t="shared" si="8"/>
        <v>9.25</v>
      </c>
      <c r="Q36" s="177">
        <f t="shared" si="7"/>
        <v>0.16299559471365638</v>
      </c>
    </row>
    <row r="37" spans="1:18" x14ac:dyDescent="0.2">
      <c r="B37" t="s">
        <v>445</v>
      </c>
      <c r="C37">
        <v>70</v>
      </c>
      <c r="D37">
        <v>71</v>
      </c>
      <c r="E37">
        <v>74</v>
      </c>
      <c r="F37">
        <v>74</v>
      </c>
      <c r="G37">
        <v>74</v>
      </c>
      <c r="H37">
        <v>79</v>
      </c>
      <c r="I37">
        <v>77</v>
      </c>
      <c r="J37">
        <v>80</v>
      </c>
      <c r="K37">
        <v>70</v>
      </c>
      <c r="L37">
        <v>66</v>
      </c>
      <c r="M37">
        <v>65</v>
      </c>
      <c r="N37">
        <v>57</v>
      </c>
      <c r="O37" s="173">
        <f t="shared" si="9"/>
        <v>71.416666666666671</v>
      </c>
      <c r="P37" s="173">
        <f t="shared" si="8"/>
        <v>5.4166666666666714</v>
      </c>
      <c r="Q37" s="177">
        <f t="shared" si="7"/>
        <v>8.2070707070707141E-2</v>
      </c>
    </row>
    <row r="38" spans="1:18" x14ac:dyDescent="0.2">
      <c r="B38" t="s">
        <v>510</v>
      </c>
      <c r="C38">
        <v>55</v>
      </c>
      <c r="D38">
        <v>70</v>
      </c>
      <c r="E38">
        <v>75</v>
      </c>
      <c r="F38">
        <v>77</v>
      </c>
      <c r="G38">
        <v>78</v>
      </c>
      <c r="H38">
        <v>51</v>
      </c>
      <c r="I38">
        <v>46</v>
      </c>
      <c r="J38">
        <v>50</v>
      </c>
      <c r="K38">
        <v>52</v>
      </c>
      <c r="L38">
        <v>52</v>
      </c>
      <c r="M38">
        <v>53</v>
      </c>
      <c r="N38">
        <v>59</v>
      </c>
      <c r="O38" s="173">
        <f t="shared" si="9"/>
        <v>59.833333333333336</v>
      </c>
      <c r="P38" s="173">
        <f t="shared" si="8"/>
        <v>-11.583333333333336</v>
      </c>
      <c r="Q38" s="177">
        <f t="shared" si="7"/>
        <v>-0.16219369894982499</v>
      </c>
    </row>
    <row r="39" spans="1:18" x14ac:dyDescent="0.2">
      <c r="B39" t="s">
        <v>546</v>
      </c>
      <c r="C39">
        <v>56</v>
      </c>
      <c r="D39">
        <v>56</v>
      </c>
      <c r="E39">
        <v>56</v>
      </c>
      <c r="F39">
        <v>60</v>
      </c>
      <c r="G39">
        <v>51</v>
      </c>
      <c r="H39">
        <v>50</v>
      </c>
      <c r="I39">
        <v>54</v>
      </c>
      <c r="J39">
        <v>54</v>
      </c>
      <c r="K39">
        <v>7</v>
      </c>
      <c r="L39">
        <v>7</v>
      </c>
      <c r="M39">
        <v>8</v>
      </c>
      <c r="N39">
        <v>8</v>
      </c>
      <c r="O39" s="173">
        <f t="shared" si="9"/>
        <v>38.916666666666664</v>
      </c>
      <c r="P39" s="173">
        <f>SUM(O39-O38)</f>
        <v>-20.916666666666671</v>
      </c>
      <c r="Q39" s="177">
        <f>SUM(P39/O38)</f>
        <v>-0.34958217270194991</v>
      </c>
    </row>
    <row r="40" spans="1:18" x14ac:dyDescent="0.2">
      <c r="B40" t="s">
        <v>547</v>
      </c>
      <c r="C40">
        <v>8</v>
      </c>
      <c r="D40">
        <v>7</v>
      </c>
      <c r="E40">
        <v>7</v>
      </c>
      <c r="F40">
        <v>6</v>
      </c>
      <c r="G40">
        <v>4</v>
      </c>
      <c r="H40">
        <v>4</v>
      </c>
      <c r="I40">
        <v>5</v>
      </c>
      <c r="J40">
        <v>5</v>
      </c>
      <c r="K40">
        <v>5</v>
      </c>
      <c r="L40">
        <v>5</v>
      </c>
      <c r="M40">
        <v>32</v>
      </c>
      <c r="N40">
        <v>29</v>
      </c>
      <c r="O40" s="173">
        <f t="shared" si="9"/>
        <v>9.75</v>
      </c>
      <c r="P40" s="173">
        <f>SUM(O40-O39)</f>
        <v>-29.166666666666664</v>
      </c>
      <c r="Q40" s="177">
        <f>SUM(P40/O39)</f>
        <v>-0.74946466809421841</v>
      </c>
    </row>
    <row r="41" spans="1:18" x14ac:dyDescent="0.2">
      <c r="B41" t="s">
        <v>817</v>
      </c>
      <c r="C41">
        <v>30</v>
      </c>
      <c r="D41">
        <v>32</v>
      </c>
      <c r="E41">
        <v>34</v>
      </c>
      <c r="F41">
        <v>35</v>
      </c>
      <c r="G41">
        <v>33</v>
      </c>
      <c r="H41">
        <v>31</v>
      </c>
      <c r="I41">
        <v>31</v>
      </c>
      <c r="J41">
        <v>29</v>
      </c>
      <c r="K41">
        <v>29</v>
      </c>
      <c r="L41">
        <v>27</v>
      </c>
      <c r="M41">
        <v>26</v>
      </c>
      <c r="N41">
        <v>24</v>
      </c>
      <c r="O41" s="173">
        <f t="shared" si="9"/>
        <v>30.083333333333332</v>
      </c>
      <c r="P41" s="173">
        <f>SUM(O41-O40)</f>
        <v>20.333333333333332</v>
      </c>
      <c r="Q41" s="177">
        <f>SUM(P41/O40)</f>
        <v>2.0854700854700852</v>
      </c>
    </row>
    <row r="42" spans="1:18" x14ac:dyDescent="0.2">
      <c r="B42" t="s">
        <v>818</v>
      </c>
      <c r="C42">
        <v>47</v>
      </c>
      <c r="D42">
        <v>45</v>
      </c>
      <c r="E42">
        <v>42</v>
      </c>
      <c r="F42">
        <v>41</v>
      </c>
      <c r="G42">
        <v>38</v>
      </c>
      <c r="H42">
        <v>37</v>
      </c>
      <c r="I42">
        <v>41</v>
      </c>
      <c r="J42">
        <v>39</v>
      </c>
      <c r="K42">
        <v>38</v>
      </c>
      <c r="L42">
        <v>35</v>
      </c>
      <c r="M42">
        <v>37</v>
      </c>
      <c r="N42">
        <v>39</v>
      </c>
      <c r="O42" s="173">
        <f t="shared" si="9"/>
        <v>39.916666666666664</v>
      </c>
      <c r="P42" s="173">
        <f>SUM(O42-O41)</f>
        <v>9.8333333333333321</v>
      </c>
      <c r="Q42" s="177">
        <f>SUM(P42/O41)</f>
        <v>0.32686980609418281</v>
      </c>
      <c r="R42" t="s">
        <v>819</v>
      </c>
    </row>
    <row r="43" spans="1:18" x14ac:dyDescent="0.2">
      <c r="B43" t="s">
        <v>899</v>
      </c>
      <c r="C43">
        <v>37</v>
      </c>
      <c r="D43">
        <v>34</v>
      </c>
      <c r="E43">
        <v>32</v>
      </c>
      <c r="F43">
        <v>32</v>
      </c>
      <c r="O43" s="173"/>
      <c r="P43" s="173"/>
      <c r="Q43" s="177"/>
    </row>
    <row r="44" spans="1:18" x14ac:dyDescent="0.2">
      <c r="A44" s="520"/>
      <c r="B44" s="520"/>
      <c r="C44" s="520"/>
      <c r="D44" s="520"/>
      <c r="E44" s="520"/>
      <c r="F44" s="520"/>
      <c r="G44" s="520"/>
      <c r="H44" s="520"/>
      <c r="I44" s="520"/>
      <c r="J44" s="520"/>
      <c r="K44" s="520"/>
      <c r="L44" s="520"/>
      <c r="M44" s="520"/>
      <c r="N44" s="520"/>
      <c r="O44" s="520"/>
      <c r="P44" s="520"/>
      <c r="Q44" s="520"/>
    </row>
    <row r="45" spans="1:18" ht="25.5" x14ac:dyDescent="0.2">
      <c r="A45" s="175" t="s">
        <v>413</v>
      </c>
      <c r="B45" s="176" t="s">
        <v>392</v>
      </c>
      <c r="C45" s="178" t="s">
        <v>393</v>
      </c>
      <c r="D45" s="178" t="s">
        <v>394</v>
      </c>
      <c r="E45" s="178" t="s">
        <v>395</v>
      </c>
      <c r="F45" s="178" t="s">
        <v>396</v>
      </c>
      <c r="G45" s="178" t="s">
        <v>397</v>
      </c>
      <c r="H45" s="178" t="s">
        <v>398</v>
      </c>
      <c r="I45" s="178" t="s">
        <v>399</v>
      </c>
      <c r="J45" s="178" t="s">
        <v>400</v>
      </c>
      <c r="K45" s="178" t="s">
        <v>401</v>
      </c>
      <c r="L45" s="178" t="s">
        <v>402</v>
      </c>
      <c r="M45" s="178" t="s">
        <v>403</v>
      </c>
      <c r="N45" s="178" t="s">
        <v>404</v>
      </c>
    </row>
    <row r="46" spans="1:18" x14ac:dyDescent="0.2">
      <c r="B46" t="s">
        <v>408</v>
      </c>
      <c r="C46">
        <v>305</v>
      </c>
      <c r="D46">
        <v>299</v>
      </c>
      <c r="E46">
        <v>289</v>
      </c>
      <c r="F46">
        <v>276</v>
      </c>
      <c r="G46">
        <v>277</v>
      </c>
      <c r="H46">
        <v>295</v>
      </c>
      <c r="I46">
        <v>283</v>
      </c>
      <c r="J46">
        <v>273</v>
      </c>
      <c r="K46">
        <v>259</v>
      </c>
      <c r="L46">
        <v>249</v>
      </c>
      <c r="M46">
        <v>241</v>
      </c>
      <c r="N46">
        <v>237</v>
      </c>
      <c r="O46" s="173">
        <f t="shared" ref="O46:O64" si="10">SUM(C46:N46)/12</f>
        <v>273.58333333333331</v>
      </c>
      <c r="P46" s="173"/>
    </row>
    <row r="47" spans="1:18" x14ac:dyDescent="0.2">
      <c r="B47" t="s">
        <v>409</v>
      </c>
      <c r="C47">
        <v>237</v>
      </c>
      <c r="D47">
        <v>230</v>
      </c>
      <c r="E47">
        <v>230</v>
      </c>
      <c r="F47">
        <v>230</v>
      </c>
      <c r="G47">
        <v>231</v>
      </c>
      <c r="H47">
        <v>215</v>
      </c>
      <c r="I47">
        <v>218</v>
      </c>
      <c r="J47">
        <v>212</v>
      </c>
      <c r="K47">
        <v>214</v>
      </c>
      <c r="L47">
        <v>217</v>
      </c>
      <c r="M47">
        <v>220</v>
      </c>
      <c r="N47">
        <v>218</v>
      </c>
      <c r="O47" s="173">
        <f t="shared" si="10"/>
        <v>222.66666666666666</v>
      </c>
      <c r="P47" s="173">
        <f t="shared" ref="P47:P54" si="11">SUM(O47-O46)</f>
        <v>-50.916666666666657</v>
      </c>
      <c r="Q47" s="177">
        <f t="shared" ref="Q47:Q53" si="12">SUM(P47/O46)</f>
        <v>-0.18611026500152297</v>
      </c>
    </row>
    <row r="48" spans="1:18" x14ac:dyDescent="0.2">
      <c r="B48" t="s">
        <v>410</v>
      </c>
      <c r="C48">
        <v>231</v>
      </c>
      <c r="D48">
        <v>230</v>
      </c>
      <c r="E48">
        <v>234</v>
      </c>
      <c r="F48">
        <v>229</v>
      </c>
      <c r="G48">
        <v>230</v>
      </c>
      <c r="H48">
        <v>240</v>
      </c>
      <c r="I48">
        <v>245</v>
      </c>
      <c r="J48">
        <v>250</v>
      </c>
      <c r="K48">
        <v>255</v>
      </c>
      <c r="L48">
        <v>260</v>
      </c>
      <c r="M48">
        <v>265</v>
      </c>
      <c r="N48">
        <v>270</v>
      </c>
      <c r="O48" s="173">
        <f t="shared" si="10"/>
        <v>244.91666666666666</v>
      </c>
      <c r="P48" s="173">
        <f t="shared" si="11"/>
        <v>22.25</v>
      </c>
      <c r="Q48" s="177">
        <f t="shared" si="12"/>
        <v>9.9925149700598806E-2</v>
      </c>
    </row>
    <row r="49" spans="2:18" x14ac:dyDescent="0.2">
      <c r="B49" t="s">
        <v>244</v>
      </c>
      <c r="C49">
        <v>280</v>
      </c>
      <c r="D49">
        <v>237</v>
      </c>
      <c r="E49">
        <v>253</v>
      </c>
      <c r="F49">
        <v>253</v>
      </c>
      <c r="G49">
        <v>253</v>
      </c>
      <c r="H49">
        <v>253</v>
      </c>
      <c r="I49">
        <v>253</v>
      </c>
      <c r="J49">
        <v>253</v>
      </c>
      <c r="K49">
        <v>253</v>
      </c>
      <c r="L49">
        <v>260</v>
      </c>
      <c r="M49">
        <v>265</v>
      </c>
      <c r="N49">
        <v>270</v>
      </c>
      <c r="O49" s="173">
        <f t="shared" si="10"/>
        <v>256.91666666666669</v>
      </c>
      <c r="P49" s="173">
        <f t="shared" si="11"/>
        <v>12.000000000000028</v>
      </c>
      <c r="Q49" s="177">
        <f t="shared" si="12"/>
        <v>4.899625723035058E-2</v>
      </c>
    </row>
    <row r="50" spans="2:18" x14ac:dyDescent="0.2">
      <c r="B50" t="s">
        <v>243</v>
      </c>
      <c r="C50">
        <v>288</v>
      </c>
      <c r="D50">
        <v>261</v>
      </c>
      <c r="E50">
        <v>258</v>
      </c>
      <c r="F50">
        <v>267</v>
      </c>
      <c r="G50">
        <v>259</v>
      </c>
      <c r="H50">
        <v>267</v>
      </c>
      <c r="I50">
        <v>272</v>
      </c>
      <c r="J50">
        <v>273</v>
      </c>
      <c r="K50">
        <v>300</v>
      </c>
      <c r="L50">
        <v>296</v>
      </c>
      <c r="M50">
        <v>319</v>
      </c>
      <c r="N50">
        <v>317</v>
      </c>
      <c r="O50" s="173">
        <f t="shared" si="10"/>
        <v>281.41666666666669</v>
      </c>
      <c r="P50" s="173">
        <f t="shared" si="11"/>
        <v>24.5</v>
      </c>
      <c r="Q50" s="177">
        <f t="shared" si="12"/>
        <v>9.5361660720077845E-2</v>
      </c>
    </row>
    <row r="51" spans="2:18" x14ac:dyDescent="0.2">
      <c r="B51" t="s">
        <v>264</v>
      </c>
      <c r="C51">
        <v>297</v>
      </c>
      <c r="D51">
        <v>306</v>
      </c>
      <c r="E51">
        <v>312</v>
      </c>
      <c r="F51">
        <v>311</v>
      </c>
      <c r="G51">
        <v>312</v>
      </c>
      <c r="H51">
        <v>252</v>
      </c>
      <c r="I51">
        <v>312</v>
      </c>
      <c r="J51">
        <v>314</v>
      </c>
      <c r="K51">
        <v>316</v>
      </c>
      <c r="L51">
        <v>235</v>
      </c>
      <c r="M51">
        <v>248</v>
      </c>
      <c r="N51">
        <v>323</v>
      </c>
      <c r="O51" s="173">
        <f t="shared" si="10"/>
        <v>294.83333333333331</v>
      </c>
      <c r="P51" s="173">
        <f t="shared" si="11"/>
        <v>13.416666666666629</v>
      </c>
      <c r="Q51" s="177">
        <f t="shared" si="12"/>
        <v>4.7675451584246235E-2</v>
      </c>
    </row>
    <row r="52" spans="2:18" x14ac:dyDescent="0.2">
      <c r="B52" t="s">
        <v>274</v>
      </c>
      <c r="C52">
        <v>322</v>
      </c>
      <c r="D52">
        <v>318</v>
      </c>
      <c r="E52">
        <v>302</v>
      </c>
      <c r="F52">
        <v>299</v>
      </c>
      <c r="G52">
        <v>301</v>
      </c>
      <c r="H52">
        <v>296</v>
      </c>
      <c r="I52">
        <v>286</v>
      </c>
      <c r="J52">
        <v>290</v>
      </c>
      <c r="K52">
        <v>283</v>
      </c>
      <c r="L52">
        <v>284</v>
      </c>
      <c r="M52">
        <v>289</v>
      </c>
      <c r="N52">
        <v>279</v>
      </c>
      <c r="O52" s="173">
        <f t="shared" si="10"/>
        <v>295.75</v>
      </c>
      <c r="P52" s="173">
        <f t="shared" si="11"/>
        <v>0.91666666666668561</v>
      </c>
      <c r="Q52" s="177">
        <f t="shared" si="12"/>
        <v>3.109101187111427E-3</v>
      </c>
    </row>
    <row r="53" spans="2:18" x14ac:dyDescent="0.2">
      <c r="B53" t="s">
        <v>277</v>
      </c>
      <c r="C53">
        <v>278</v>
      </c>
      <c r="D53">
        <v>270</v>
      </c>
      <c r="E53">
        <v>262</v>
      </c>
      <c r="F53">
        <v>253</v>
      </c>
      <c r="G53">
        <v>261</v>
      </c>
      <c r="H53">
        <v>259</v>
      </c>
      <c r="I53">
        <v>254</v>
      </c>
      <c r="J53">
        <v>255</v>
      </c>
      <c r="K53">
        <v>249</v>
      </c>
      <c r="L53">
        <v>267</v>
      </c>
      <c r="M53">
        <v>263</v>
      </c>
      <c r="N53">
        <v>250</v>
      </c>
      <c r="O53" s="173">
        <f t="shared" si="10"/>
        <v>260.08333333333331</v>
      </c>
      <c r="P53" s="173">
        <f t="shared" si="11"/>
        <v>-35.666666666666686</v>
      </c>
      <c r="Q53" s="177">
        <f t="shared" si="12"/>
        <v>-0.1205973513665822</v>
      </c>
    </row>
    <row r="54" spans="2:18" x14ac:dyDescent="0.2">
      <c r="B54" t="s">
        <v>278</v>
      </c>
      <c r="C54">
        <v>247</v>
      </c>
      <c r="D54">
        <v>250</v>
      </c>
      <c r="E54">
        <v>240</v>
      </c>
      <c r="F54">
        <v>238</v>
      </c>
      <c r="G54">
        <v>230</v>
      </c>
      <c r="H54">
        <v>228</v>
      </c>
      <c r="I54">
        <v>230</v>
      </c>
      <c r="J54">
        <v>228</v>
      </c>
      <c r="K54">
        <v>226</v>
      </c>
      <c r="L54">
        <v>224</v>
      </c>
      <c r="M54">
        <v>228</v>
      </c>
      <c r="N54">
        <v>233</v>
      </c>
      <c r="O54" s="173">
        <f t="shared" si="10"/>
        <v>233.5</v>
      </c>
      <c r="P54" s="173">
        <f t="shared" si="11"/>
        <v>-26.583333333333314</v>
      </c>
      <c r="Q54" s="177">
        <f t="shared" ref="Q54:Q60" si="13">SUM(P54/O53)</f>
        <v>-0.10221082986222359</v>
      </c>
    </row>
    <row r="55" spans="2:18" x14ac:dyDescent="0.2">
      <c r="B55" t="s">
        <v>279</v>
      </c>
      <c r="C55">
        <v>212</v>
      </c>
      <c r="D55">
        <v>216</v>
      </c>
      <c r="E55">
        <v>221</v>
      </c>
      <c r="F55">
        <v>228</v>
      </c>
      <c r="G55">
        <v>226</v>
      </c>
      <c r="H55">
        <v>230</v>
      </c>
      <c r="I55">
        <v>222</v>
      </c>
      <c r="J55">
        <v>225</v>
      </c>
      <c r="K55">
        <v>236</v>
      </c>
      <c r="L55">
        <v>242</v>
      </c>
      <c r="M55">
        <v>246</v>
      </c>
      <c r="N55">
        <v>252</v>
      </c>
      <c r="O55" s="173">
        <f t="shared" si="10"/>
        <v>229.66666666666666</v>
      </c>
      <c r="P55" s="173">
        <f t="shared" ref="P55:P60" si="14">SUM(O55-O54)</f>
        <v>-3.8333333333333428</v>
      </c>
      <c r="Q55" s="177">
        <f t="shared" si="13"/>
        <v>-1.6416845110635302E-2</v>
      </c>
    </row>
    <row r="56" spans="2:18" x14ac:dyDescent="0.2">
      <c r="B56" t="s">
        <v>317</v>
      </c>
      <c r="C56">
        <v>247</v>
      </c>
      <c r="D56">
        <v>248</v>
      </c>
      <c r="E56">
        <v>247</v>
      </c>
      <c r="F56">
        <v>247</v>
      </c>
      <c r="G56">
        <v>254</v>
      </c>
      <c r="H56">
        <v>258</v>
      </c>
      <c r="I56">
        <v>257</v>
      </c>
      <c r="J56">
        <v>255</v>
      </c>
      <c r="K56">
        <v>252</v>
      </c>
      <c r="L56">
        <v>251</v>
      </c>
      <c r="M56">
        <v>249</v>
      </c>
      <c r="N56">
        <v>259</v>
      </c>
      <c r="O56" s="173">
        <f t="shared" si="10"/>
        <v>252</v>
      </c>
      <c r="P56" s="173">
        <f t="shared" si="14"/>
        <v>22.333333333333343</v>
      </c>
      <c r="Q56" s="177">
        <f t="shared" si="13"/>
        <v>9.7242380261248235E-2</v>
      </c>
    </row>
    <row r="57" spans="2:18" x14ac:dyDescent="0.2">
      <c r="B57" t="s">
        <v>338</v>
      </c>
      <c r="C57">
        <v>264</v>
      </c>
      <c r="D57">
        <v>260</v>
      </c>
      <c r="E57">
        <v>262</v>
      </c>
      <c r="F57">
        <v>259</v>
      </c>
      <c r="G57">
        <v>247</v>
      </c>
      <c r="H57">
        <v>238</v>
      </c>
      <c r="I57">
        <v>224</v>
      </c>
      <c r="J57">
        <v>232</v>
      </c>
      <c r="K57">
        <v>239</v>
      </c>
      <c r="L57">
        <v>243</v>
      </c>
      <c r="M57">
        <v>246</v>
      </c>
      <c r="N57">
        <v>247</v>
      </c>
      <c r="O57" s="173">
        <f t="shared" si="10"/>
        <v>246.75</v>
      </c>
      <c r="P57" s="173">
        <f t="shared" si="14"/>
        <v>-5.25</v>
      </c>
      <c r="Q57" s="177">
        <f t="shared" si="13"/>
        <v>-2.0833333333333332E-2</v>
      </c>
      <c r="R57" t="s">
        <v>414</v>
      </c>
    </row>
    <row r="58" spans="2:18" x14ac:dyDescent="0.2">
      <c r="B58" t="s">
        <v>411</v>
      </c>
      <c r="C58">
        <v>257</v>
      </c>
      <c r="D58">
        <v>248</v>
      </c>
      <c r="E58">
        <v>250</v>
      </c>
      <c r="F58">
        <v>264</v>
      </c>
      <c r="G58">
        <v>265</v>
      </c>
      <c r="H58">
        <v>270</v>
      </c>
      <c r="I58">
        <v>279</v>
      </c>
      <c r="J58">
        <v>279</v>
      </c>
      <c r="K58">
        <v>266</v>
      </c>
      <c r="L58">
        <v>260</v>
      </c>
      <c r="M58">
        <v>260</v>
      </c>
      <c r="N58">
        <v>272</v>
      </c>
      <c r="O58" s="173">
        <f t="shared" si="10"/>
        <v>264.16666666666669</v>
      </c>
      <c r="P58" s="173">
        <f t="shared" si="14"/>
        <v>17.416666666666686</v>
      </c>
      <c r="Q58" s="177">
        <f t="shared" si="13"/>
        <v>7.0584262073623852E-2</v>
      </c>
    </row>
    <row r="59" spans="2:18" x14ac:dyDescent="0.2">
      <c r="B59" t="s">
        <v>445</v>
      </c>
      <c r="C59">
        <v>276</v>
      </c>
      <c r="D59">
        <v>277</v>
      </c>
      <c r="E59">
        <v>283</v>
      </c>
      <c r="F59">
        <v>298</v>
      </c>
      <c r="G59">
        <v>294</v>
      </c>
      <c r="H59">
        <v>295</v>
      </c>
      <c r="I59">
        <v>289</v>
      </c>
      <c r="J59">
        <v>284</v>
      </c>
      <c r="K59">
        <v>288</v>
      </c>
      <c r="L59">
        <v>290</v>
      </c>
      <c r="M59">
        <v>303</v>
      </c>
      <c r="N59">
        <v>300</v>
      </c>
      <c r="O59" s="173">
        <f t="shared" si="10"/>
        <v>289.75</v>
      </c>
      <c r="P59" s="173">
        <f t="shared" si="14"/>
        <v>25.583333333333314</v>
      </c>
      <c r="Q59" s="177">
        <f t="shared" si="13"/>
        <v>9.6845425867507814E-2</v>
      </c>
    </row>
    <row r="60" spans="2:18" x14ac:dyDescent="0.2">
      <c r="B60" t="s">
        <v>510</v>
      </c>
      <c r="C60">
        <v>305</v>
      </c>
      <c r="D60">
        <v>296</v>
      </c>
      <c r="E60">
        <v>293</v>
      </c>
      <c r="F60">
        <v>294</v>
      </c>
      <c r="G60">
        <v>286</v>
      </c>
      <c r="H60">
        <v>283</v>
      </c>
      <c r="I60">
        <v>274</v>
      </c>
      <c r="J60">
        <v>260</v>
      </c>
      <c r="K60">
        <v>259</v>
      </c>
      <c r="L60">
        <v>266</v>
      </c>
      <c r="M60">
        <v>259</v>
      </c>
      <c r="N60">
        <v>266</v>
      </c>
      <c r="O60" s="173">
        <f t="shared" si="10"/>
        <v>278.41666666666669</v>
      </c>
      <c r="P60" s="173">
        <f t="shared" si="14"/>
        <v>-11.333333333333314</v>
      </c>
      <c r="Q60" s="177">
        <f t="shared" si="13"/>
        <v>-3.9114178889847508E-2</v>
      </c>
    </row>
    <row r="61" spans="2:18" x14ac:dyDescent="0.2">
      <c r="B61" t="s">
        <v>546</v>
      </c>
      <c r="C61">
        <v>256</v>
      </c>
      <c r="D61">
        <v>252</v>
      </c>
      <c r="E61">
        <v>248</v>
      </c>
      <c r="F61">
        <v>249</v>
      </c>
      <c r="G61">
        <v>253</v>
      </c>
      <c r="H61">
        <v>244</v>
      </c>
      <c r="I61">
        <v>234</v>
      </c>
      <c r="J61">
        <v>221</v>
      </c>
      <c r="K61">
        <v>233</v>
      </c>
      <c r="L61">
        <v>230</v>
      </c>
      <c r="M61">
        <v>238</v>
      </c>
      <c r="N61">
        <v>251</v>
      </c>
      <c r="O61" s="173">
        <f t="shared" si="10"/>
        <v>242.41666666666666</v>
      </c>
      <c r="P61" s="173">
        <f>SUM(O61-O60)</f>
        <v>-36.000000000000028</v>
      </c>
      <c r="Q61" s="177">
        <f>SUM(P61/O60)</f>
        <v>-0.12930260401077531</v>
      </c>
    </row>
    <row r="62" spans="2:18" x14ac:dyDescent="0.2">
      <c r="B62" t="s">
        <v>547</v>
      </c>
      <c r="C62">
        <v>254</v>
      </c>
      <c r="D62">
        <v>242</v>
      </c>
      <c r="E62">
        <v>239</v>
      </c>
      <c r="F62">
        <v>236</v>
      </c>
      <c r="G62">
        <v>231</v>
      </c>
      <c r="H62">
        <v>238</v>
      </c>
      <c r="I62">
        <v>229</v>
      </c>
      <c r="J62">
        <v>248</v>
      </c>
      <c r="K62">
        <v>244</v>
      </c>
      <c r="L62">
        <v>254</v>
      </c>
      <c r="M62">
        <v>257</v>
      </c>
      <c r="N62">
        <v>258</v>
      </c>
      <c r="O62" s="173">
        <f t="shared" si="10"/>
        <v>244.16666666666666</v>
      </c>
      <c r="P62" s="173">
        <f>SUM(O62-O61)</f>
        <v>1.75</v>
      </c>
      <c r="Q62" s="177">
        <f>SUM(P62/O61)</f>
        <v>7.2189755929872815E-3</v>
      </c>
    </row>
    <row r="63" spans="2:18" x14ac:dyDescent="0.2">
      <c r="B63" t="s">
        <v>817</v>
      </c>
      <c r="C63">
        <v>255</v>
      </c>
      <c r="D63">
        <v>254</v>
      </c>
      <c r="E63">
        <v>247</v>
      </c>
      <c r="F63">
        <v>241</v>
      </c>
      <c r="G63">
        <v>243</v>
      </c>
      <c r="H63">
        <v>231</v>
      </c>
      <c r="I63">
        <v>230</v>
      </c>
      <c r="J63">
        <v>227</v>
      </c>
      <c r="K63">
        <v>234</v>
      </c>
      <c r="L63">
        <v>233</v>
      </c>
      <c r="M63">
        <v>238</v>
      </c>
      <c r="N63">
        <v>233</v>
      </c>
      <c r="O63" s="173">
        <f t="shared" si="10"/>
        <v>238.83333333333334</v>
      </c>
      <c r="P63" s="173">
        <f>SUM(O63-O62)</f>
        <v>-5.3333333333333144</v>
      </c>
      <c r="Q63" s="177">
        <f>SUM(P63/O62)</f>
        <v>-2.1843003412969207E-2</v>
      </c>
    </row>
    <row r="64" spans="2:18" x14ac:dyDescent="0.2">
      <c r="B64" t="s">
        <v>818</v>
      </c>
      <c r="C64">
        <v>209</v>
      </c>
      <c r="D64">
        <v>206</v>
      </c>
      <c r="E64">
        <v>206</v>
      </c>
      <c r="F64">
        <v>201</v>
      </c>
      <c r="G64">
        <v>197</v>
      </c>
      <c r="H64">
        <v>190</v>
      </c>
      <c r="I64">
        <v>185</v>
      </c>
      <c r="J64">
        <v>183</v>
      </c>
      <c r="K64">
        <v>148</v>
      </c>
      <c r="L64">
        <v>143</v>
      </c>
      <c r="M64">
        <v>166</v>
      </c>
      <c r="N64">
        <v>170</v>
      </c>
      <c r="O64" s="173">
        <f t="shared" si="10"/>
        <v>183.66666666666666</v>
      </c>
      <c r="P64" s="173">
        <f>SUM(O64-O63)</f>
        <v>-55.166666666666686</v>
      </c>
      <c r="Q64" s="177">
        <f>SUM(P64/O63)</f>
        <v>-0.23098394975575723</v>
      </c>
      <c r="R64" t="s">
        <v>900</v>
      </c>
    </row>
    <row r="65" spans="1:17" x14ac:dyDescent="0.2">
      <c r="B65" t="s">
        <v>899</v>
      </c>
      <c r="C65">
        <v>173</v>
      </c>
      <c r="D65">
        <v>173</v>
      </c>
      <c r="E65">
        <v>171</v>
      </c>
      <c r="F65">
        <v>174</v>
      </c>
      <c r="O65" s="173"/>
      <c r="P65" s="173"/>
      <c r="Q65" s="177"/>
    </row>
    <row r="66" spans="1:17" ht="25.5" x14ac:dyDescent="0.2">
      <c r="A66" s="175" t="s">
        <v>415</v>
      </c>
      <c r="B66" s="176" t="s">
        <v>392</v>
      </c>
      <c r="C66" s="178" t="s">
        <v>393</v>
      </c>
      <c r="D66" s="178" t="s">
        <v>394</v>
      </c>
      <c r="E66" s="178" t="s">
        <v>395</v>
      </c>
      <c r="F66" s="178" t="s">
        <v>396</v>
      </c>
      <c r="G66" s="178" t="s">
        <v>397</v>
      </c>
      <c r="H66" s="178" t="s">
        <v>398</v>
      </c>
      <c r="I66" s="178" t="s">
        <v>399</v>
      </c>
      <c r="J66" s="178" t="s">
        <v>400</v>
      </c>
      <c r="K66" s="178" t="s">
        <v>401</v>
      </c>
      <c r="L66" s="178" t="s">
        <v>402</v>
      </c>
      <c r="M66" s="178" t="s">
        <v>403</v>
      </c>
      <c r="N66" s="178" t="s">
        <v>404</v>
      </c>
    </row>
    <row r="67" spans="1:17" x14ac:dyDescent="0.2">
      <c r="B67" t="s">
        <v>408</v>
      </c>
      <c r="C67">
        <v>65</v>
      </c>
      <c r="D67">
        <v>62</v>
      </c>
      <c r="E67">
        <v>57</v>
      </c>
      <c r="F67">
        <v>56</v>
      </c>
      <c r="G67">
        <v>52</v>
      </c>
      <c r="H67">
        <v>51</v>
      </c>
      <c r="I67">
        <v>49</v>
      </c>
      <c r="J67">
        <v>55</v>
      </c>
      <c r="K67">
        <v>59</v>
      </c>
      <c r="L67">
        <v>55</v>
      </c>
      <c r="M67">
        <v>54</v>
      </c>
      <c r="N67">
        <v>66</v>
      </c>
      <c r="O67" s="173">
        <f t="shared" ref="O67:O85" si="15">SUM(C67:N67)/12</f>
        <v>56.75</v>
      </c>
      <c r="P67" s="173"/>
    </row>
    <row r="68" spans="1:17" x14ac:dyDescent="0.2">
      <c r="B68" t="s">
        <v>409</v>
      </c>
      <c r="C68">
        <v>67</v>
      </c>
      <c r="D68">
        <v>72</v>
      </c>
      <c r="E68">
        <v>72</v>
      </c>
      <c r="F68">
        <v>73</v>
      </c>
      <c r="G68">
        <v>71</v>
      </c>
      <c r="H68">
        <v>74</v>
      </c>
      <c r="I68">
        <v>74</v>
      </c>
      <c r="J68">
        <v>74</v>
      </c>
      <c r="K68">
        <v>70</v>
      </c>
      <c r="L68">
        <v>66</v>
      </c>
      <c r="M68">
        <v>62</v>
      </c>
      <c r="N68">
        <v>63</v>
      </c>
      <c r="O68" s="173">
        <f t="shared" si="15"/>
        <v>69.833333333333329</v>
      </c>
      <c r="P68" s="173">
        <f t="shared" ref="P68:P75" si="16">SUM(O68-O67)</f>
        <v>13.083333333333329</v>
      </c>
      <c r="Q68" s="177">
        <f t="shared" ref="Q68:Q74" si="17">SUM(P68/O67)</f>
        <v>0.23054331864904543</v>
      </c>
    </row>
    <row r="69" spans="1:17" x14ac:dyDescent="0.2">
      <c r="B69" t="s">
        <v>410</v>
      </c>
      <c r="C69">
        <v>68</v>
      </c>
      <c r="D69">
        <v>75</v>
      </c>
      <c r="E69">
        <v>74</v>
      </c>
      <c r="F69">
        <v>79</v>
      </c>
      <c r="G69">
        <v>75</v>
      </c>
      <c r="H69">
        <v>74</v>
      </c>
      <c r="I69">
        <v>64</v>
      </c>
      <c r="J69">
        <v>75</v>
      </c>
      <c r="K69">
        <v>76</v>
      </c>
      <c r="L69">
        <v>78</v>
      </c>
      <c r="M69">
        <v>79</v>
      </c>
      <c r="N69">
        <v>81</v>
      </c>
      <c r="O69" s="173">
        <f t="shared" si="15"/>
        <v>74.833333333333329</v>
      </c>
      <c r="P69" s="173">
        <f t="shared" si="16"/>
        <v>5</v>
      </c>
      <c r="Q69" s="177">
        <f t="shared" si="17"/>
        <v>7.1599045346062054E-2</v>
      </c>
    </row>
    <row r="70" spans="1:17" x14ac:dyDescent="0.2">
      <c r="B70" t="s">
        <v>244</v>
      </c>
      <c r="C70">
        <v>76</v>
      </c>
      <c r="D70">
        <v>79</v>
      </c>
      <c r="E70">
        <v>76</v>
      </c>
      <c r="F70">
        <v>74</v>
      </c>
      <c r="G70">
        <v>72</v>
      </c>
      <c r="H70">
        <v>70</v>
      </c>
      <c r="I70">
        <v>68</v>
      </c>
      <c r="J70">
        <v>59</v>
      </c>
      <c r="K70">
        <v>67</v>
      </c>
      <c r="L70">
        <v>66</v>
      </c>
      <c r="M70">
        <v>67</v>
      </c>
      <c r="N70">
        <v>64</v>
      </c>
      <c r="O70" s="173">
        <f t="shared" si="15"/>
        <v>69.833333333333329</v>
      </c>
      <c r="P70" s="173">
        <f t="shared" si="16"/>
        <v>-5</v>
      </c>
      <c r="Q70" s="177">
        <f t="shared" si="17"/>
        <v>-6.6815144766147E-2</v>
      </c>
    </row>
    <row r="71" spans="1:17" x14ac:dyDescent="0.2">
      <c r="B71" t="s">
        <v>243</v>
      </c>
      <c r="C71">
        <v>67</v>
      </c>
      <c r="D71">
        <v>57</v>
      </c>
      <c r="E71">
        <v>57</v>
      </c>
      <c r="F71">
        <v>58</v>
      </c>
      <c r="G71">
        <v>57</v>
      </c>
      <c r="H71">
        <v>60</v>
      </c>
      <c r="I71">
        <v>55</v>
      </c>
      <c r="J71">
        <v>55</v>
      </c>
      <c r="K71">
        <v>64</v>
      </c>
      <c r="L71">
        <v>61</v>
      </c>
      <c r="M71">
        <v>68</v>
      </c>
      <c r="N71">
        <v>67</v>
      </c>
      <c r="O71" s="173">
        <f t="shared" si="15"/>
        <v>60.5</v>
      </c>
      <c r="P71" s="173">
        <f t="shared" si="16"/>
        <v>-9.3333333333333286</v>
      </c>
      <c r="Q71" s="177">
        <f t="shared" si="17"/>
        <v>-0.13365155131264911</v>
      </c>
    </row>
    <row r="72" spans="1:17" x14ac:dyDescent="0.2">
      <c r="B72" t="s">
        <v>264</v>
      </c>
      <c r="C72">
        <v>71</v>
      </c>
      <c r="D72">
        <v>62</v>
      </c>
      <c r="E72">
        <v>61</v>
      </c>
      <c r="F72">
        <v>59</v>
      </c>
      <c r="G72">
        <v>54</v>
      </c>
      <c r="H72">
        <v>56</v>
      </c>
      <c r="I72">
        <v>56</v>
      </c>
      <c r="J72">
        <v>58</v>
      </c>
      <c r="K72">
        <v>60</v>
      </c>
      <c r="L72">
        <v>65</v>
      </c>
      <c r="M72">
        <v>72</v>
      </c>
      <c r="N72">
        <v>75</v>
      </c>
      <c r="O72" s="173">
        <f t="shared" si="15"/>
        <v>62.416666666666664</v>
      </c>
      <c r="P72" s="173">
        <f t="shared" si="16"/>
        <v>1.9166666666666643</v>
      </c>
      <c r="Q72" s="177">
        <f t="shared" si="17"/>
        <v>3.1680440771349822E-2</v>
      </c>
    </row>
    <row r="73" spans="1:17" x14ac:dyDescent="0.2">
      <c r="B73" t="s">
        <v>274</v>
      </c>
      <c r="C73">
        <v>76</v>
      </c>
      <c r="D73">
        <v>73</v>
      </c>
      <c r="E73">
        <v>67</v>
      </c>
      <c r="F73">
        <v>66</v>
      </c>
      <c r="G73">
        <v>66</v>
      </c>
      <c r="H73">
        <v>68</v>
      </c>
      <c r="I73">
        <v>69</v>
      </c>
      <c r="J73">
        <v>72</v>
      </c>
      <c r="K73">
        <v>69</v>
      </c>
      <c r="L73">
        <v>75</v>
      </c>
      <c r="M73">
        <v>73</v>
      </c>
      <c r="N73">
        <v>74</v>
      </c>
      <c r="O73" s="173">
        <f t="shared" si="15"/>
        <v>70.666666666666671</v>
      </c>
      <c r="P73" s="173">
        <f t="shared" si="16"/>
        <v>8.2500000000000071</v>
      </c>
      <c r="Q73" s="177">
        <f t="shared" si="17"/>
        <v>0.13217623497997341</v>
      </c>
    </row>
    <row r="74" spans="1:17" x14ac:dyDescent="0.2">
      <c r="B74" t="s">
        <v>277</v>
      </c>
      <c r="C74">
        <v>72</v>
      </c>
      <c r="D74">
        <v>72</v>
      </c>
      <c r="E74">
        <v>71</v>
      </c>
      <c r="F74">
        <v>73</v>
      </c>
      <c r="G74">
        <v>77</v>
      </c>
      <c r="H74">
        <v>76</v>
      </c>
      <c r="I74">
        <v>76</v>
      </c>
      <c r="J74">
        <v>78</v>
      </c>
      <c r="K74">
        <v>74</v>
      </c>
      <c r="L74">
        <v>88</v>
      </c>
      <c r="M74">
        <v>92</v>
      </c>
      <c r="N74">
        <v>76</v>
      </c>
      <c r="O74" s="173">
        <f t="shared" si="15"/>
        <v>77.083333333333329</v>
      </c>
      <c r="P74" s="173">
        <f t="shared" si="16"/>
        <v>6.4166666666666572</v>
      </c>
      <c r="Q74" s="177">
        <f t="shared" si="17"/>
        <v>9.0801886792452685E-2</v>
      </c>
    </row>
    <row r="75" spans="1:17" x14ac:dyDescent="0.2">
      <c r="B75" t="s">
        <v>278</v>
      </c>
      <c r="C75">
        <v>76</v>
      </c>
      <c r="D75">
        <v>79</v>
      </c>
      <c r="E75">
        <v>94</v>
      </c>
      <c r="F75">
        <v>75</v>
      </c>
      <c r="G75">
        <v>79</v>
      </c>
      <c r="H75">
        <v>77</v>
      </c>
      <c r="I75">
        <v>83</v>
      </c>
      <c r="J75">
        <v>83</v>
      </c>
      <c r="K75">
        <v>86</v>
      </c>
      <c r="L75">
        <v>85</v>
      </c>
      <c r="M75">
        <v>82</v>
      </c>
      <c r="N75">
        <v>89</v>
      </c>
      <c r="O75" s="173">
        <f t="shared" si="15"/>
        <v>82.333333333333329</v>
      </c>
      <c r="P75" s="173">
        <f t="shared" si="16"/>
        <v>5.25</v>
      </c>
      <c r="Q75" s="177">
        <f t="shared" ref="Q75:Q81" si="18">SUM(P75/O74)</f>
        <v>6.8108108108108106E-2</v>
      </c>
    </row>
    <row r="76" spans="1:17" x14ac:dyDescent="0.2">
      <c r="B76" t="s">
        <v>279</v>
      </c>
      <c r="C76">
        <v>92</v>
      </c>
      <c r="D76">
        <v>91</v>
      </c>
      <c r="E76">
        <v>95</v>
      </c>
      <c r="F76">
        <v>93</v>
      </c>
      <c r="G76">
        <v>96</v>
      </c>
      <c r="H76">
        <v>94</v>
      </c>
      <c r="I76">
        <v>91</v>
      </c>
      <c r="J76">
        <v>90</v>
      </c>
      <c r="K76">
        <v>91</v>
      </c>
      <c r="L76">
        <v>95</v>
      </c>
      <c r="M76">
        <v>96</v>
      </c>
      <c r="N76">
        <v>73</v>
      </c>
      <c r="O76" s="173">
        <f t="shared" si="15"/>
        <v>91.416666666666671</v>
      </c>
      <c r="P76" s="173">
        <f t="shared" ref="P76:P81" si="19">SUM(O76-O75)</f>
        <v>9.0833333333333428</v>
      </c>
      <c r="Q76" s="177">
        <f t="shared" si="18"/>
        <v>0.11032388663967624</v>
      </c>
    </row>
    <row r="77" spans="1:17" x14ac:dyDescent="0.2">
      <c r="B77" t="s">
        <v>317</v>
      </c>
      <c r="C77">
        <v>72</v>
      </c>
      <c r="D77">
        <v>72</v>
      </c>
      <c r="E77">
        <v>65</v>
      </c>
      <c r="F77">
        <v>62</v>
      </c>
      <c r="G77">
        <v>61</v>
      </c>
      <c r="H77">
        <v>65</v>
      </c>
      <c r="I77">
        <v>68</v>
      </c>
      <c r="J77">
        <v>70</v>
      </c>
      <c r="K77">
        <v>68</v>
      </c>
      <c r="L77">
        <v>70</v>
      </c>
      <c r="M77">
        <v>71</v>
      </c>
      <c r="N77">
        <v>73</v>
      </c>
      <c r="O77" s="173">
        <f t="shared" si="15"/>
        <v>68.083333333333329</v>
      </c>
      <c r="P77" s="173">
        <f t="shared" si="19"/>
        <v>-23.333333333333343</v>
      </c>
      <c r="Q77" s="177">
        <f t="shared" si="18"/>
        <v>-0.2552415679124887</v>
      </c>
    </row>
    <row r="78" spans="1:17" x14ac:dyDescent="0.2">
      <c r="B78" t="s">
        <v>338</v>
      </c>
      <c r="C78">
        <v>72</v>
      </c>
      <c r="D78">
        <v>70</v>
      </c>
      <c r="E78">
        <v>73</v>
      </c>
      <c r="F78">
        <v>77</v>
      </c>
      <c r="G78">
        <v>74</v>
      </c>
      <c r="H78">
        <v>74</v>
      </c>
      <c r="I78">
        <v>76</v>
      </c>
      <c r="J78">
        <v>75</v>
      </c>
      <c r="K78">
        <v>77</v>
      </c>
      <c r="L78">
        <v>82</v>
      </c>
      <c r="M78">
        <v>85</v>
      </c>
      <c r="N78">
        <v>88</v>
      </c>
      <c r="O78" s="173">
        <f t="shared" si="15"/>
        <v>76.916666666666671</v>
      </c>
      <c r="P78" s="173">
        <f t="shared" si="19"/>
        <v>8.8333333333333428</v>
      </c>
      <c r="Q78" s="177">
        <f t="shared" si="18"/>
        <v>0.1297429620563037</v>
      </c>
    </row>
    <row r="79" spans="1:17" x14ac:dyDescent="0.2">
      <c r="B79" t="s">
        <v>411</v>
      </c>
      <c r="C79">
        <v>88</v>
      </c>
      <c r="D79">
        <v>84</v>
      </c>
      <c r="E79">
        <v>81</v>
      </c>
      <c r="F79">
        <v>81</v>
      </c>
      <c r="G79">
        <v>79</v>
      </c>
      <c r="H79">
        <v>79</v>
      </c>
      <c r="I79">
        <v>77</v>
      </c>
      <c r="J79">
        <v>82</v>
      </c>
      <c r="K79">
        <v>80</v>
      </c>
      <c r="L79">
        <v>73</v>
      </c>
      <c r="M79">
        <v>76</v>
      </c>
      <c r="N79">
        <v>76</v>
      </c>
      <c r="O79" s="173">
        <f t="shared" si="15"/>
        <v>79.666666666666671</v>
      </c>
      <c r="P79" s="173">
        <f t="shared" si="19"/>
        <v>2.75</v>
      </c>
      <c r="Q79" s="177">
        <f t="shared" si="18"/>
        <v>3.5752979414951244E-2</v>
      </c>
    </row>
    <row r="80" spans="1:17" x14ac:dyDescent="0.2">
      <c r="B80" t="s">
        <v>445</v>
      </c>
      <c r="C80">
        <v>75</v>
      </c>
      <c r="D80">
        <v>77</v>
      </c>
      <c r="E80">
        <v>75</v>
      </c>
      <c r="F80">
        <v>75</v>
      </c>
      <c r="G80">
        <v>79</v>
      </c>
      <c r="H80">
        <v>74</v>
      </c>
      <c r="I80">
        <v>75</v>
      </c>
      <c r="J80">
        <v>77</v>
      </c>
      <c r="K80">
        <v>74</v>
      </c>
      <c r="L80">
        <v>70</v>
      </c>
      <c r="M80">
        <v>70</v>
      </c>
      <c r="N80">
        <v>72</v>
      </c>
      <c r="O80" s="173">
        <f t="shared" si="15"/>
        <v>74.416666666666671</v>
      </c>
      <c r="P80" s="173">
        <f t="shared" si="19"/>
        <v>-5.25</v>
      </c>
      <c r="Q80" s="177">
        <f t="shared" si="18"/>
        <v>-6.5899581589958151E-2</v>
      </c>
    </row>
    <row r="81" spans="1:18" x14ac:dyDescent="0.2">
      <c r="B81" t="s">
        <v>510</v>
      </c>
      <c r="C81">
        <v>74</v>
      </c>
      <c r="D81">
        <v>71</v>
      </c>
      <c r="E81">
        <v>73</v>
      </c>
      <c r="F81">
        <v>76</v>
      </c>
      <c r="G81">
        <v>72</v>
      </c>
      <c r="H81">
        <v>70</v>
      </c>
      <c r="I81">
        <v>73</v>
      </c>
      <c r="J81">
        <v>73</v>
      </c>
      <c r="K81">
        <v>72</v>
      </c>
      <c r="L81">
        <v>73</v>
      </c>
      <c r="M81">
        <v>76</v>
      </c>
      <c r="N81">
        <v>77</v>
      </c>
      <c r="O81" s="173">
        <f t="shared" si="15"/>
        <v>73.333333333333329</v>
      </c>
      <c r="P81" s="173">
        <f t="shared" si="19"/>
        <v>-1.0833333333333428</v>
      </c>
      <c r="Q81" s="177">
        <f t="shared" si="18"/>
        <v>-1.4557670772676497E-2</v>
      </c>
    </row>
    <row r="82" spans="1:18" x14ac:dyDescent="0.2">
      <c r="B82" t="s">
        <v>546</v>
      </c>
      <c r="C82">
        <v>71</v>
      </c>
      <c r="D82">
        <v>70</v>
      </c>
      <c r="E82">
        <v>68</v>
      </c>
      <c r="F82">
        <v>71</v>
      </c>
      <c r="G82">
        <v>69</v>
      </c>
      <c r="H82">
        <v>69</v>
      </c>
      <c r="I82">
        <v>67</v>
      </c>
      <c r="J82">
        <v>70</v>
      </c>
      <c r="K82">
        <v>69</v>
      </c>
      <c r="L82">
        <v>69</v>
      </c>
      <c r="M82">
        <v>69</v>
      </c>
      <c r="N82">
        <v>65</v>
      </c>
      <c r="O82" s="173">
        <f t="shared" si="15"/>
        <v>68.916666666666671</v>
      </c>
      <c r="P82" s="173">
        <f>SUM(O82-O81)</f>
        <v>-4.4166666666666572</v>
      </c>
      <c r="Q82" s="177">
        <f>SUM(P82/O81)</f>
        <v>-6.0227272727272602E-2</v>
      </c>
    </row>
    <row r="83" spans="1:18" x14ac:dyDescent="0.2">
      <c r="B83" t="s">
        <v>547</v>
      </c>
      <c r="C83">
        <v>69</v>
      </c>
      <c r="D83">
        <v>66</v>
      </c>
      <c r="E83">
        <v>63</v>
      </c>
      <c r="F83">
        <v>62</v>
      </c>
      <c r="G83">
        <v>65</v>
      </c>
      <c r="H83">
        <v>62</v>
      </c>
      <c r="I83">
        <v>64</v>
      </c>
      <c r="J83">
        <v>63</v>
      </c>
      <c r="K83">
        <v>57</v>
      </c>
      <c r="L83">
        <v>57</v>
      </c>
      <c r="M83">
        <v>57</v>
      </c>
      <c r="N83">
        <v>58</v>
      </c>
      <c r="O83" s="173">
        <f t="shared" si="15"/>
        <v>61.916666666666664</v>
      </c>
      <c r="P83" s="173">
        <f>SUM(O83-O82)</f>
        <v>-7.0000000000000071</v>
      </c>
      <c r="Q83" s="177">
        <f>SUM(P83/O82)</f>
        <v>-0.10157194679564702</v>
      </c>
    </row>
    <row r="84" spans="1:18" x14ac:dyDescent="0.2">
      <c r="B84" t="s">
        <v>817</v>
      </c>
      <c r="C84">
        <v>52</v>
      </c>
      <c r="D84">
        <v>53</v>
      </c>
      <c r="E84">
        <v>56</v>
      </c>
      <c r="F84">
        <v>51</v>
      </c>
      <c r="G84">
        <v>48</v>
      </c>
      <c r="H84">
        <v>50</v>
      </c>
      <c r="I84">
        <v>51</v>
      </c>
      <c r="J84">
        <v>48</v>
      </c>
      <c r="K84">
        <v>50</v>
      </c>
      <c r="L84">
        <v>52</v>
      </c>
      <c r="M84">
        <v>53</v>
      </c>
      <c r="N84">
        <v>53</v>
      </c>
      <c r="O84" s="173">
        <f t="shared" si="15"/>
        <v>51.416666666666664</v>
      </c>
      <c r="P84" s="173">
        <f>SUM(O84-O83)</f>
        <v>-10.5</v>
      </c>
      <c r="Q84" s="177">
        <f>SUM(P84/O83)</f>
        <v>-0.1695827725437416</v>
      </c>
    </row>
    <row r="85" spans="1:18" x14ac:dyDescent="0.2">
      <c r="B85" t="s">
        <v>818</v>
      </c>
      <c r="C85">
        <v>47</v>
      </c>
      <c r="D85">
        <v>47</v>
      </c>
      <c r="E85">
        <v>47</v>
      </c>
      <c r="F85">
        <v>49</v>
      </c>
      <c r="G85">
        <v>46</v>
      </c>
      <c r="H85">
        <v>47</v>
      </c>
      <c r="I85">
        <v>49</v>
      </c>
      <c r="J85">
        <v>47</v>
      </c>
      <c r="K85">
        <v>43</v>
      </c>
      <c r="L85">
        <v>40</v>
      </c>
      <c r="M85">
        <v>3</v>
      </c>
      <c r="N85">
        <v>2</v>
      </c>
      <c r="O85" s="173">
        <f t="shared" si="15"/>
        <v>38.916666666666664</v>
      </c>
      <c r="P85" s="173">
        <f>SUM(O85-O84)</f>
        <v>-12.5</v>
      </c>
      <c r="Q85" s="177">
        <f>SUM(P85/O84)</f>
        <v>-0.24311183144246354</v>
      </c>
      <c r="R85" t="s">
        <v>901</v>
      </c>
    </row>
    <row r="86" spans="1:18" x14ac:dyDescent="0.2">
      <c r="B86" t="s">
        <v>899</v>
      </c>
      <c r="C86">
        <v>2</v>
      </c>
      <c r="D86">
        <v>2</v>
      </c>
      <c r="E86">
        <v>2</v>
      </c>
      <c r="F86">
        <v>2</v>
      </c>
      <c r="O86" s="173"/>
      <c r="P86" s="173"/>
      <c r="Q86" s="177"/>
    </row>
    <row r="87" spans="1:18" x14ac:dyDescent="0.2">
      <c r="A87" s="520"/>
      <c r="B87" s="520"/>
      <c r="C87" s="520"/>
      <c r="D87" s="520"/>
      <c r="E87" s="520"/>
      <c r="F87" s="520"/>
      <c r="G87" s="520"/>
      <c r="H87" s="520"/>
      <c r="I87" s="520"/>
      <c r="J87" s="520"/>
      <c r="K87" s="520"/>
      <c r="L87" s="520"/>
      <c r="M87" s="520"/>
      <c r="N87" s="520"/>
      <c r="O87" s="520"/>
      <c r="P87" s="520"/>
      <c r="Q87" s="520"/>
    </row>
    <row r="88" spans="1:18" ht="25.5" x14ac:dyDescent="0.2">
      <c r="A88" s="175" t="s">
        <v>416</v>
      </c>
      <c r="B88" s="176" t="s">
        <v>392</v>
      </c>
      <c r="C88" s="178" t="s">
        <v>393</v>
      </c>
      <c r="D88" s="178" t="s">
        <v>394</v>
      </c>
      <c r="E88" s="178" t="s">
        <v>395</v>
      </c>
      <c r="F88" s="178" t="s">
        <v>396</v>
      </c>
      <c r="G88" s="178" t="s">
        <v>397</v>
      </c>
      <c r="H88" s="178" t="s">
        <v>398</v>
      </c>
      <c r="I88" s="178" t="s">
        <v>399</v>
      </c>
      <c r="J88" s="178" t="s">
        <v>400</v>
      </c>
      <c r="K88" s="178" t="s">
        <v>401</v>
      </c>
      <c r="L88" s="178" t="s">
        <v>402</v>
      </c>
      <c r="M88" s="178" t="s">
        <v>403</v>
      </c>
      <c r="N88" s="178" t="s">
        <v>404</v>
      </c>
    </row>
    <row r="89" spans="1:18" x14ac:dyDescent="0.2">
      <c r="B89" t="s">
        <v>408</v>
      </c>
      <c r="C89">
        <v>683</v>
      </c>
      <c r="D89">
        <v>675</v>
      </c>
      <c r="E89">
        <v>696</v>
      </c>
      <c r="F89">
        <v>659</v>
      </c>
      <c r="G89">
        <v>661</v>
      </c>
      <c r="H89">
        <v>650</v>
      </c>
      <c r="I89">
        <v>666</v>
      </c>
      <c r="J89">
        <v>688</v>
      </c>
      <c r="K89">
        <v>667</v>
      </c>
      <c r="L89">
        <v>670</v>
      </c>
      <c r="M89">
        <v>639</v>
      </c>
      <c r="N89">
        <v>653</v>
      </c>
      <c r="O89" s="173">
        <f t="shared" ref="O89:O107" si="20">SUM(C89:N89)/12</f>
        <v>667.25</v>
      </c>
      <c r="P89" s="173"/>
    </row>
    <row r="90" spans="1:18" x14ac:dyDescent="0.2">
      <c r="B90" t="s">
        <v>409</v>
      </c>
      <c r="C90">
        <v>624</v>
      </c>
      <c r="D90">
        <v>643</v>
      </c>
      <c r="E90">
        <v>636</v>
      </c>
      <c r="F90">
        <v>670</v>
      </c>
      <c r="G90">
        <v>642</v>
      </c>
      <c r="H90">
        <v>655</v>
      </c>
      <c r="I90">
        <v>650</v>
      </c>
      <c r="J90">
        <v>660</v>
      </c>
      <c r="K90">
        <v>644</v>
      </c>
      <c r="L90">
        <v>672</v>
      </c>
      <c r="M90">
        <v>658</v>
      </c>
      <c r="N90">
        <v>659</v>
      </c>
      <c r="O90" s="173">
        <f t="shared" si="20"/>
        <v>651.08333333333337</v>
      </c>
      <c r="P90" s="173">
        <f t="shared" ref="P90:P97" si="21">SUM(O90-O89)</f>
        <v>-16.166666666666629</v>
      </c>
      <c r="Q90" s="177">
        <f t="shared" ref="Q90:Q96" si="22">SUM(P90/O89)</f>
        <v>-2.422879980017479E-2</v>
      </c>
    </row>
    <row r="91" spans="1:18" x14ac:dyDescent="0.2">
      <c r="B91" t="s">
        <v>410</v>
      </c>
      <c r="C91">
        <v>661</v>
      </c>
      <c r="D91">
        <v>673</v>
      </c>
      <c r="E91">
        <v>672</v>
      </c>
      <c r="F91">
        <v>632</v>
      </c>
      <c r="G91">
        <v>611</v>
      </c>
      <c r="H91">
        <v>620</v>
      </c>
      <c r="I91">
        <v>633</v>
      </c>
      <c r="J91">
        <v>653</v>
      </c>
      <c r="K91">
        <v>659</v>
      </c>
      <c r="L91">
        <v>665</v>
      </c>
      <c r="M91">
        <v>671</v>
      </c>
      <c r="N91">
        <v>677</v>
      </c>
      <c r="O91" s="173">
        <f t="shared" si="20"/>
        <v>652.25</v>
      </c>
      <c r="P91" s="173">
        <f t="shared" si="21"/>
        <v>1.1666666666666288</v>
      </c>
      <c r="Q91" s="177">
        <f t="shared" si="22"/>
        <v>1.7918853193395041E-3</v>
      </c>
    </row>
    <row r="92" spans="1:18" x14ac:dyDescent="0.2">
      <c r="B92" t="s">
        <v>244</v>
      </c>
      <c r="C92">
        <v>561</v>
      </c>
      <c r="D92">
        <v>574</v>
      </c>
      <c r="E92">
        <v>593</v>
      </c>
      <c r="F92">
        <v>589</v>
      </c>
      <c r="G92">
        <v>589</v>
      </c>
      <c r="H92">
        <v>589</v>
      </c>
      <c r="I92">
        <v>589</v>
      </c>
      <c r="J92">
        <v>589</v>
      </c>
      <c r="K92">
        <v>589</v>
      </c>
      <c r="L92">
        <v>589</v>
      </c>
      <c r="M92">
        <v>589</v>
      </c>
      <c r="N92">
        <v>623</v>
      </c>
      <c r="O92" s="173">
        <f t="shared" si="20"/>
        <v>588.58333333333337</v>
      </c>
      <c r="P92" s="173">
        <f t="shared" si="21"/>
        <v>-63.666666666666629</v>
      </c>
      <c r="Q92" s="177">
        <f t="shared" si="22"/>
        <v>-9.7610834291554816E-2</v>
      </c>
    </row>
    <row r="93" spans="1:18" x14ac:dyDescent="0.2">
      <c r="B93" t="s">
        <v>243</v>
      </c>
      <c r="C93">
        <v>585</v>
      </c>
      <c r="D93">
        <v>542</v>
      </c>
      <c r="E93">
        <v>535</v>
      </c>
      <c r="F93">
        <v>545</v>
      </c>
      <c r="G93">
        <v>547</v>
      </c>
      <c r="H93">
        <v>584</v>
      </c>
      <c r="I93">
        <v>608</v>
      </c>
      <c r="J93">
        <v>604</v>
      </c>
      <c r="K93">
        <v>592</v>
      </c>
      <c r="L93">
        <v>599</v>
      </c>
      <c r="M93">
        <v>628</v>
      </c>
      <c r="N93">
        <v>595</v>
      </c>
      <c r="O93" s="173">
        <f t="shared" si="20"/>
        <v>580.33333333333337</v>
      </c>
      <c r="P93" s="173">
        <f t="shared" si="21"/>
        <v>-8.25</v>
      </c>
      <c r="Q93" s="177">
        <f t="shared" si="22"/>
        <v>-1.4016706781820756E-2</v>
      </c>
    </row>
    <row r="94" spans="1:18" x14ac:dyDescent="0.2">
      <c r="B94" t="s">
        <v>264</v>
      </c>
      <c r="C94">
        <v>601</v>
      </c>
      <c r="D94">
        <v>626</v>
      </c>
      <c r="E94">
        <v>662</v>
      </c>
      <c r="F94">
        <v>646</v>
      </c>
      <c r="G94">
        <v>635</v>
      </c>
      <c r="H94">
        <v>634</v>
      </c>
      <c r="I94">
        <v>628</v>
      </c>
      <c r="J94">
        <v>656</v>
      </c>
      <c r="K94">
        <v>666</v>
      </c>
      <c r="L94">
        <v>657</v>
      </c>
      <c r="M94">
        <v>576</v>
      </c>
      <c r="N94">
        <v>650</v>
      </c>
      <c r="O94" s="173">
        <f t="shared" si="20"/>
        <v>636.41666666666663</v>
      </c>
      <c r="P94" s="173">
        <f t="shared" si="21"/>
        <v>56.083333333333258</v>
      </c>
      <c r="Q94" s="177">
        <f t="shared" si="22"/>
        <v>9.6639862148190564E-2</v>
      </c>
    </row>
    <row r="95" spans="1:18" x14ac:dyDescent="0.2">
      <c r="B95" t="s">
        <v>274</v>
      </c>
      <c r="C95">
        <v>648</v>
      </c>
      <c r="D95">
        <v>660</v>
      </c>
      <c r="E95">
        <v>652</v>
      </c>
      <c r="F95">
        <v>651</v>
      </c>
      <c r="G95">
        <v>646</v>
      </c>
      <c r="H95">
        <v>659</v>
      </c>
      <c r="I95">
        <v>646</v>
      </c>
      <c r="J95">
        <v>702</v>
      </c>
      <c r="K95">
        <v>699</v>
      </c>
      <c r="L95">
        <v>703</v>
      </c>
      <c r="M95">
        <v>711</v>
      </c>
      <c r="N95">
        <v>718</v>
      </c>
      <c r="O95" s="173">
        <f t="shared" si="20"/>
        <v>674.58333333333337</v>
      </c>
      <c r="P95" s="173">
        <f t="shared" si="21"/>
        <v>38.166666666666742</v>
      </c>
      <c r="Q95" s="177">
        <f t="shared" si="22"/>
        <v>5.99711928767842E-2</v>
      </c>
    </row>
    <row r="96" spans="1:18" x14ac:dyDescent="0.2">
      <c r="B96" t="s">
        <v>277</v>
      </c>
      <c r="C96">
        <v>731</v>
      </c>
      <c r="D96">
        <v>726</v>
      </c>
      <c r="E96">
        <v>720</v>
      </c>
      <c r="F96">
        <v>696</v>
      </c>
      <c r="G96">
        <v>731</v>
      </c>
      <c r="H96">
        <v>721</v>
      </c>
      <c r="I96">
        <v>713</v>
      </c>
      <c r="J96">
        <v>701</v>
      </c>
      <c r="K96">
        <v>691</v>
      </c>
      <c r="L96">
        <v>789</v>
      </c>
      <c r="M96">
        <v>764</v>
      </c>
      <c r="N96">
        <v>691</v>
      </c>
      <c r="O96" s="173">
        <f t="shared" si="20"/>
        <v>722.83333333333337</v>
      </c>
      <c r="P96" s="173">
        <f t="shared" si="21"/>
        <v>48.25</v>
      </c>
      <c r="Q96" s="177">
        <f t="shared" si="22"/>
        <v>7.1525633106856085E-2</v>
      </c>
    </row>
    <row r="97" spans="1:17" x14ac:dyDescent="0.2">
      <c r="B97" t="s">
        <v>278</v>
      </c>
      <c r="C97">
        <v>684</v>
      </c>
      <c r="D97">
        <v>691</v>
      </c>
      <c r="E97">
        <v>716</v>
      </c>
      <c r="F97">
        <v>676</v>
      </c>
      <c r="G97">
        <v>671</v>
      </c>
      <c r="H97">
        <v>676</v>
      </c>
      <c r="I97">
        <v>674</v>
      </c>
      <c r="J97">
        <v>667</v>
      </c>
      <c r="K97">
        <v>669</v>
      </c>
      <c r="L97">
        <v>676</v>
      </c>
      <c r="M97">
        <v>714</v>
      </c>
      <c r="N97">
        <v>718</v>
      </c>
      <c r="O97" s="173">
        <f t="shared" si="20"/>
        <v>686</v>
      </c>
      <c r="P97" s="173">
        <f t="shared" si="21"/>
        <v>-36.833333333333371</v>
      </c>
      <c r="Q97" s="177">
        <f t="shared" ref="Q97:Q103" si="23">SUM(P97/O96)</f>
        <v>-5.095688263776809E-2</v>
      </c>
    </row>
    <row r="98" spans="1:17" x14ac:dyDescent="0.2">
      <c r="B98" t="s">
        <v>279</v>
      </c>
      <c r="C98">
        <v>681</v>
      </c>
      <c r="D98">
        <v>689</v>
      </c>
      <c r="E98">
        <v>680</v>
      </c>
      <c r="F98">
        <v>661</v>
      </c>
      <c r="G98">
        <v>661</v>
      </c>
      <c r="H98">
        <v>678</v>
      </c>
      <c r="I98">
        <v>672</v>
      </c>
      <c r="J98">
        <v>687</v>
      </c>
      <c r="K98">
        <v>677</v>
      </c>
      <c r="L98">
        <v>674</v>
      </c>
      <c r="M98">
        <v>674</v>
      </c>
      <c r="N98">
        <v>691</v>
      </c>
      <c r="O98" s="173">
        <f t="shared" si="20"/>
        <v>677.08333333333337</v>
      </c>
      <c r="P98" s="173">
        <f t="shared" ref="P98:P103" si="24">SUM(O98-O97)</f>
        <v>-8.9166666666666288</v>
      </c>
      <c r="Q98" s="177">
        <f t="shared" si="23"/>
        <v>-1.2998056365403248E-2</v>
      </c>
    </row>
    <row r="99" spans="1:17" x14ac:dyDescent="0.2">
      <c r="B99" t="s">
        <v>317</v>
      </c>
      <c r="C99">
        <v>685</v>
      </c>
      <c r="D99">
        <v>703</v>
      </c>
      <c r="E99">
        <v>697</v>
      </c>
      <c r="F99">
        <v>714</v>
      </c>
      <c r="G99">
        <v>713</v>
      </c>
      <c r="H99">
        <v>746</v>
      </c>
      <c r="I99">
        <v>722</v>
      </c>
      <c r="J99">
        <v>724</v>
      </c>
      <c r="K99">
        <v>728</v>
      </c>
      <c r="L99">
        <v>696</v>
      </c>
      <c r="M99">
        <v>695</v>
      </c>
      <c r="N99">
        <v>676</v>
      </c>
      <c r="O99" s="173">
        <f t="shared" si="20"/>
        <v>708.25</v>
      </c>
      <c r="P99" s="173">
        <f t="shared" si="24"/>
        <v>31.166666666666629</v>
      </c>
      <c r="Q99" s="177">
        <f t="shared" si="23"/>
        <v>4.6030769230769174E-2</v>
      </c>
    </row>
    <row r="100" spans="1:17" x14ac:dyDescent="0.2">
      <c r="B100" t="s">
        <v>338</v>
      </c>
      <c r="C100">
        <v>691</v>
      </c>
      <c r="D100">
        <v>666</v>
      </c>
      <c r="E100">
        <v>624</v>
      </c>
      <c r="F100">
        <v>670</v>
      </c>
      <c r="G100">
        <v>672</v>
      </c>
      <c r="H100">
        <v>675</v>
      </c>
      <c r="I100">
        <v>651</v>
      </c>
      <c r="J100">
        <v>642</v>
      </c>
      <c r="K100">
        <v>588</v>
      </c>
      <c r="L100">
        <v>663</v>
      </c>
      <c r="M100">
        <v>660</v>
      </c>
      <c r="N100">
        <v>646</v>
      </c>
      <c r="O100" s="173">
        <f t="shared" si="20"/>
        <v>654</v>
      </c>
      <c r="P100" s="173">
        <f t="shared" si="24"/>
        <v>-54.25</v>
      </c>
      <c r="Q100" s="177">
        <f t="shared" si="23"/>
        <v>-7.6597246734909988E-2</v>
      </c>
    </row>
    <row r="101" spans="1:17" x14ac:dyDescent="0.2">
      <c r="B101" t="s">
        <v>411</v>
      </c>
      <c r="C101">
        <v>652</v>
      </c>
      <c r="D101">
        <v>655</v>
      </c>
      <c r="E101">
        <v>667</v>
      </c>
      <c r="F101">
        <v>658</v>
      </c>
      <c r="G101">
        <v>671</v>
      </c>
      <c r="H101">
        <v>681</v>
      </c>
      <c r="I101">
        <v>677</v>
      </c>
      <c r="J101">
        <v>673</v>
      </c>
      <c r="K101">
        <v>663</v>
      </c>
      <c r="L101">
        <v>656</v>
      </c>
      <c r="M101">
        <v>662</v>
      </c>
      <c r="N101">
        <v>679</v>
      </c>
      <c r="O101" s="173">
        <f t="shared" si="20"/>
        <v>666.16666666666663</v>
      </c>
      <c r="P101" s="173">
        <f t="shared" si="24"/>
        <v>12.166666666666629</v>
      </c>
      <c r="Q101" s="177">
        <f t="shared" si="23"/>
        <v>1.8603465851172216E-2</v>
      </c>
    </row>
    <row r="102" spans="1:17" x14ac:dyDescent="0.2">
      <c r="B102" t="s">
        <v>445</v>
      </c>
      <c r="C102">
        <v>674</v>
      </c>
      <c r="D102">
        <v>675</v>
      </c>
      <c r="E102">
        <v>693</v>
      </c>
      <c r="F102">
        <v>708</v>
      </c>
      <c r="G102">
        <v>741</v>
      </c>
      <c r="H102">
        <v>687</v>
      </c>
      <c r="I102">
        <v>729</v>
      </c>
      <c r="J102">
        <v>690</v>
      </c>
      <c r="K102">
        <v>701</v>
      </c>
      <c r="L102">
        <v>693</v>
      </c>
      <c r="M102">
        <v>738</v>
      </c>
      <c r="N102">
        <v>729</v>
      </c>
      <c r="O102" s="173">
        <f t="shared" si="20"/>
        <v>704.83333333333337</v>
      </c>
      <c r="P102" s="173">
        <f t="shared" si="24"/>
        <v>38.666666666666742</v>
      </c>
      <c r="Q102" s="177">
        <f t="shared" si="23"/>
        <v>5.804353264948723E-2</v>
      </c>
    </row>
    <row r="103" spans="1:17" x14ac:dyDescent="0.2">
      <c r="B103" t="s">
        <v>510</v>
      </c>
      <c r="C103">
        <v>722</v>
      </c>
      <c r="D103">
        <v>713</v>
      </c>
      <c r="E103">
        <v>717</v>
      </c>
      <c r="F103">
        <v>696</v>
      </c>
      <c r="G103">
        <v>673</v>
      </c>
      <c r="H103">
        <v>688</v>
      </c>
      <c r="I103">
        <v>676</v>
      </c>
      <c r="J103">
        <v>681</v>
      </c>
      <c r="K103">
        <v>670</v>
      </c>
      <c r="L103">
        <v>672</v>
      </c>
      <c r="M103">
        <v>697</v>
      </c>
      <c r="N103">
        <v>744</v>
      </c>
      <c r="O103" s="173">
        <f t="shared" si="20"/>
        <v>695.75</v>
      </c>
      <c r="P103" s="173">
        <f t="shared" si="24"/>
        <v>-9.0833333333333712</v>
      </c>
      <c r="Q103" s="177">
        <f t="shared" si="23"/>
        <v>-1.2887207377630699E-2</v>
      </c>
    </row>
    <row r="104" spans="1:17" x14ac:dyDescent="0.2">
      <c r="B104" t="s">
        <v>546</v>
      </c>
      <c r="C104">
        <v>681</v>
      </c>
      <c r="D104">
        <v>668</v>
      </c>
      <c r="E104">
        <v>662</v>
      </c>
      <c r="F104">
        <v>638</v>
      </c>
      <c r="G104">
        <v>665</v>
      </c>
      <c r="H104">
        <v>654</v>
      </c>
      <c r="I104">
        <v>640</v>
      </c>
      <c r="J104">
        <v>628</v>
      </c>
      <c r="K104">
        <v>699</v>
      </c>
      <c r="L104">
        <v>611</v>
      </c>
      <c r="M104">
        <v>605</v>
      </c>
      <c r="N104">
        <v>589</v>
      </c>
      <c r="O104" s="173">
        <f t="shared" si="20"/>
        <v>645</v>
      </c>
      <c r="P104" s="173">
        <f>SUM(O104-O103)</f>
        <v>-50.75</v>
      </c>
      <c r="Q104" s="177">
        <f>SUM(P104/O103)</f>
        <v>-7.294286740927057E-2</v>
      </c>
    </row>
    <row r="105" spans="1:17" x14ac:dyDescent="0.2">
      <c r="B105" t="s">
        <v>547</v>
      </c>
      <c r="C105">
        <v>578</v>
      </c>
      <c r="D105">
        <v>579</v>
      </c>
      <c r="E105">
        <v>577</v>
      </c>
      <c r="F105">
        <v>568</v>
      </c>
      <c r="G105">
        <v>572</v>
      </c>
      <c r="H105">
        <v>550</v>
      </c>
      <c r="I105">
        <v>554</v>
      </c>
      <c r="J105">
        <v>550</v>
      </c>
      <c r="K105">
        <v>559</v>
      </c>
      <c r="L105">
        <v>576</v>
      </c>
      <c r="M105">
        <v>548</v>
      </c>
      <c r="N105">
        <v>537</v>
      </c>
      <c r="O105" s="173">
        <f t="shared" si="20"/>
        <v>562.33333333333337</v>
      </c>
      <c r="P105" s="173">
        <f>SUM(O105-O104)</f>
        <v>-82.666666666666629</v>
      </c>
      <c r="Q105" s="177">
        <f>SUM(P105/O104)</f>
        <v>-0.12816537467700254</v>
      </c>
    </row>
    <row r="106" spans="1:17" x14ac:dyDescent="0.2">
      <c r="B106" t="s">
        <v>817</v>
      </c>
      <c r="C106">
        <v>512</v>
      </c>
      <c r="D106">
        <v>549</v>
      </c>
      <c r="E106">
        <v>569</v>
      </c>
      <c r="F106">
        <v>581</v>
      </c>
      <c r="G106">
        <v>582</v>
      </c>
      <c r="H106">
        <v>541</v>
      </c>
      <c r="I106">
        <v>539</v>
      </c>
      <c r="J106">
        <v>533</v>
      </c>
      <c r="K106">
        <v>554</v>
      </c>
      <c r="L106">
        <v>553</v>
      </c>
      <c r="M106">
        <v>556</v>
      </c>
      <c r="N106">
        <v>563</v>
      </c>
      <c r="O106" s="173">
        <f t="shared" si="20"/>
        <v>552.66666666666663</v>
      </c>
      <c r="P106" s="173">
        <f>SUM(O106-O105)</f>
        <v>-9.6666666666667425</v>
      </c>
      <c r="Q106" s="177">
        <f>SUM(P106/O105)</f>
        <v>-1.7190278601067116E-2</v>
      </c>
    </row>
    <row r="107" spans="1:17" x14ac:dyDescent="0.2">
      <c r="B107" t="s">
        <v>818</v>
      </c>
      <c r="C107">
        <v>553</v>
      </c>
      <c r="D107">
        <v>524</v>
      </c>
      <c r="E107">
        <v>513</v>
      </c>
      <c r="F107">
        <v>531</v>
      </c>
      <c r="G107">
        <v>527</v>
      </c>
      <c r="H107">
        <v>486</v>
      </c>
      <c r="I107">
        <v>464</v>
      </c>
      <c r="J107">
        <v>475</v>
      </c>
      <c r="K107">
        <v>460</v>
      </c>
      <c r="L107">
        <v>455</v>
      </c>
      <c r="M107">
        <v>442</v>
      </c>
      <c r="N107">
        <v>442</v>
      </c>
      <c r="O107" s="173">
        <f t="shared" si="20"/>
        <v>489.33333333333331</v>
      </c>
      <c r="P107" s="173">
        <f>SUM(O107-O106)</f>
        <v>-63.333333333333314</v>
      </c>
      <c r="Q107" s="177">
        <f>SUM(P107/O106)</f>
        <v>-0.11459589867310009</v>
      </c>
    </row>
    <row r="108" spans="1:17" x14ac:dyDescent="0.2">
      <c r="B108" t="s">
        <v>899</v>
      </c>
      <c r="C108">
        <v>459</v>
      </c>
      <c r="D108">
        <v>475</v>
      </c>
      <c r="E108">
        <v>483</v>
      </c>
      <c r="F108">
        <v>443</v>
      </c>
      <c r="O108" s="173"/>
      <c r="P108" s="173"/>
      <c r="Q108" s="177"/>
    </row>
    <row r="109" spans="1:17" ht="25.5" x14ac:dyDescent="0.2">
      <c r="A109" s="175" t="s">
        <v>417</v>
      </c>
      <c r="B109" s="176" t="s">
        <v>392</v>
      </c>
      <c r="C109" s="178" t="s">
        <v>393</v>
      </c>
      <c r="D109" s="178" t="s">
        <v>394</v>
      </c>
      <c r="E109" s="178" t="s">
        <v>395</v>
      </c>
      <c r="F109" s="178" t="s">
        <v>396</v>
      </c>
      <c r="G109" s="178" t="s">
        <v>397</v>
      </c>
      <c r="H109" s="178" t="s">
        <v>398</v>
      </c>
      <c r="I109" s="178" t="s">
        <v>399</v>
      </c>
      <c r="J109" s="178" t="s">
        <v>400</v>
      </c>
      <c r="K109" s="178" t="s">
        <v>401</v>
      </c>
      <c r="L109" s="178" t="s">
        <v>402</v>
      </c>
      <c r="M109" s="178" t="s">
        <v>403</v>
      </c>
      <c r="N109" s="178" t="s">
        <v>404</v>
      </c>
    </row>
    <row r="110" spans="1:17" x14ac:dyDescent="0.2">
      <c r="B110" t="s">
        <v>408</v>
      </c>
      <c r="C110">
        <v>227</v>
      </c>
      <c r="D110">
        <v>238</v>
      </c>
      <c r="E110">
        <v>241</v>
      </c>
      <c r="F110">
        <v>237</v>
      </c>
      <c r="G110">
        <v>237</v>
      </c>
      <c r="H110">
        <v>245</v>
      </c>
      <c r="I110">
        <v>239</v>
      </c>
      <c r="J110">
        <v>232</v>
      </c>
      <c r="K110">
        <v>228</v>
      </c>
      <c r="L110">
        <v>226</v>
      </c>
      <c r="M110">
        <v>226</v>
      </c>
      <c r="N110">
        <v>238</v>
      </c>
      <c r="O110" s="173">
        <f t="shared" ref="O110:O128" si="25">SUM(C110:N110)/12</f>
        <v>234.5</v>
      </c>
      <c r="P110" s="173"/>
    </row>
    <row r="111" spans="1:17" x14ac:dyDescent="0.2">
      <c r="B111" t="s">
        <v>409</v>
      </c>
      <c r="C111">
        <v>227</v>
      </c>
      <c r="D111">
        <v>234</v>
      </c>
      <c r="E111">
        <v>235</v>
      </c>
      <c r="F111">
        <v>220</v>
      </c>
      <c r="G111">
        <v>231</v>
      </c>
      <c r="H111">
        <v>222</v>
      </c>
      <c r="I111">
        <v>209</v>
      </c>
      <c r="J111">
        <v>216</v>
      </c>
      <c r="K111">
        <v>219</v>
      </c>
      <c r="L111">
        <v>212</v>
      </c>
      <c r="M111">
        <v>211</v>
      </c>
      <c r="N111">
        <v>211</v>
      </c>
      <c r="O111" s="173">
        <f t="shared" si="25"/>
        <v>220.58333333333334</v>
      </c>
      <c r="P111" s="173">
        <f t="shared" ref="P111:P118" si="26">SUM(O111-O110)</f>
        <v>-13.916666666666657</v>
      </c>
      <c r="Q111" s="177">
        <f t="shared" ref="Q111:Q117" si="27">SUM(P111/O110)</f>
        <v>-5.9346126510305575E-2</v>
      </c>
    </row>
    <row r="112" spans="1:17" x14ac:dyDescent="0.2">
      <c r="B112" t="s">
        <v>410</v>
      </c>
      <c r="C112">
        <v>210</v>
      </c>
      <c r="D112">
        <v>212</v>
      </c>
      <c r="E112">
        <v>205</v>
      </c>
      <c r="F112">
        <v>205</v>
      </c>
      <c r="G112">
        <v>220</v>
      </c>
      <c r="H112">
        <v>221</v>
      </c>
      <c r="I112">
        <v>223</v>
      </c>
      <c r="J112">
        <v>227</v>
      </c>
      <c r="K112">
        <v>230</v>
      </c>
      <c r="L112">
        <v>204</v>
      </c>
      <c r="M112">
        <v>178</v>
      </c>
      <c r="N112">
        <v>152</v>
      </c>
      <c r="O112" s="173">
        <f t="shared" si="25"/>
        <v>207.25</v>
      </c>
      <c r="P112" s="173">
        <f t="shared" si="26"/>
        <v>-13.333333333333343</v>
      </c>
      <c r="Q112" s="177">
        <f t="shared" si="27"/>
        <v>-6.0445787684170797E-2</v>
      </c>
    </row>
    <row r="113" spans="2:17" x14ac:dyDescent="0.2">
      <c r="B113" t="s">
        <v>244</v>
      </c>
      <c r="C113">
        <v>257</v>
      </c>
      <c r="D113">
        <v>269</v>
      </c>
      <c r="E113">
        <v>265</v>
      </c>
      <c r="F113">
        <v>244</v>
      </c>
      <c r="G113">
        <v>244</v>
      </c>
      <c r="H113">
        <v>244</v>
      </c>
      <c r="I113">
        <v>244</v>
      </c>
      <c r="J113">
        <v>244</v>
      </c>
      <c r="K113">
        <v>244</v>
      </c>
      <c r="L113">
        <v>244</v>
      </c>
      <c r="M113">
        <v>244</v>
      </c>
      <c r="N113">
        <v>244</v>
      </c>
      <c r="O113" s="173">
        <f t="shared" si="25"/>
        <v>248.91666666666666</v>
      </c>
      <c r="P113" s="173">
        <f t="shared" si="26"/>
        <v>41.666666666666657</v>
      </c>
      <c r="Q113" s="177">
        <f t="shared" si="27"/>
        <v>0.20104543626859667</v>
      </c>
    </row>
    <row r="114" spans="2:17" x14ac:dyDescent="0.2">
      <c r="B114" t="s">
        <v>243</v>
      </c>
      <c r="C114">
        <v>239</v>
      </c>
      <c r="D114">
        <v>224</v>
      </c>
      <c r="E114">
        <v>226</v>
      </c>
      <c r="F114">
        <v>219</v>
      </c>
      <c r="G114">
        <v>227</v>
      </c>
      <c r="H114">
        <v>220</v>
      </c>
      <c r="I114">
        <v>214</v>
      </c>
      <c r="J114">
        <v>214</v>
      </c>
      <c r="K114">
        <v>205</v>
      </c>
      <c r="L114">
        <v>216</v>
      </c>
      <c r="M114">
        <v>210</v>
      </c>
      <c r="N114">
        <v>213</v>
      </c>
      <c r="O114" s="173">
        <f t="shared" si="25"/>
        <v>218.91666666666666</v>
      </c>
      <c r="P114" s="173">
        <f t="shared" si="26"/>
        <v>-30</v>
      </c>
      <c r="Q114" s="177">
        <f t="shared" si="27"/>
        <v>-0.12052226314027453</v>
      </c>
    </row>
    <row r="115" spans="2:17" x14ac:dyDescent="0.2">
      <c r="B115" t="s">
        <v>264</v>
      </c>
      <c r="C115">
        <v>214</v>
      </c>
      <c r="D115">
        <v>211</v>
      </c>
      <c r="E115">
        <v>207</v>
      </c>
      <c r="F115">
        <v>229</v>
      </c>
      <c r="G115">
        <v>243</v>
      </c>
      <c r="H115">
        <v>240</v>
      </c>
      <c r="I115">
        <v>243</v>
      </c>
      <c r="J115">
        <v>245</v>
      </c>
      <c r="K115">
        <v>245</v>
      </c>
      <c r="L115">
        <v>259</v>
      </c>
      <c r="M115">
        <v>261</v>
      </c>
      <c r="N115">
        <v>263</v>
      </c>
      <c r="O115" s="173">
        <f t="shared" si="25"/>
        <v>238.33333333333334</v>
      </c>
      <c r="P115" s="173">
        <f t="shared" si="26"/>
        <v>19.416666666666686</v>
      </c>
      <c r="Q115" s="177">
        <f t="shared" si="27"/>
        <v>8.8694328130947936E-2</v>
      </c>
    </row>
    <row r="116" spans="2:17" x14ac:dyDescent="0.2">
      <c r="B116" t="s">
        <v>274</v>
      </c>
      <c r="C116">
        <v>264</v>
      </c>
      <c r="D116">
        <v>263</v>
      </c>
      <c r="E116">
        <v>264</v>
      </c>
      <c r="F116">
        <v>259</v>
      </c>
      <c r="G116">
        <v>262</v>
      </c>
      <c r="H116">
        <v>259</v>
      </c>
      <c r="I116">
        <v>244</v>
      </c>
      <c r="J116">
        <v>246</v>
      </c>
      <c r="K116">
        <v>253</v>
      </c>
      <c r="L116">
        <v>249</v>
      </c>
      <c r="M116">
        <v>248</v>
      </c>
      <c r="N116">
        <v>256</v>
      </c>
      <c r="O116" s="173">
        <f t="shared" si="25"/>
        <v>255.58333333333334</v>
      </c>
      <c r="P116" s="173">
        <f t="shared" si="26"/>
        <v>17.25</v>
      </c>
      <c r="Q116" s="177">
        <f t="shared" si="27"/>
        <v>7.237762237762238E-2</v>
      </c>
    </row>
    <row r="117" spans="2:17" x14ac:dyDescent="0.2">
      <c r="B117" t="s">
        <v>277</v>
      </c>
      <c r="C117">
        <v>259</v>
      </c>
      <c r="D117">
        <v>269</v>
      </c>
      <c r="E117">
        <v>262</v>
      </c>
      <c r="F117">
        <v>281</v>
      </c>
      <c r="G117">
        <v>292</v>
      </c>
      <c r="H117">
        <v>287</v>
      </c>
      <c r="I117">
        <v>285</v>
      </c>
      <c r="J117">
        <v>271</v>
      </c>
      <c r="K117">
        <v>263</v>
      </c>
      <c r="L117">
        <v>304</v>
      </c>
      <c r="M117">
        <v>301</v>
      </c>
      <c r="N117">
        <v>256</v>
      </c>
      <c r="O117" s="173">
        <f t="shared" si="25"/>
        <v>277.5</v>
      </c>
      <c r="P117" s="173">
        <f t="shared" si="26"/>
        <v>21.916666666666657</v>
      </c>
      <c r="Q117" s="177">
        <f t="shared" si="27"/>
        <v>8.5751548744701617E-2</v>
      </c>
    </row>
    <row r="118" spans="2:17" x14ac:dyDescent="0.2">
      <c r="B118" t="s">
        <v>278</v>
      </c>
      <c r="C118">
        <v>263</v>
      </c>
      <c r="D118">
        <v>269</v>
      </c>
      <c r="E118">
        <v>260</v>
      </c>
      <c r="F118">
        <v>254</v>
      </c>
      <c r="G118">
        <v>247</v>
      </c>
      <c r="H118">
        <v>251</v>
      </c>
      <c r="I118">
        <v>244</v>
      </c>
      <c r="J118">
        <v>235</v>
      </c>
      <c r="K118">
        <v>233</v>
      </c>
      <c r="L118">
        <v>251</v>
      </c>
      <c r="M118">
        <v>278</v>
      </c>
      <c r="N118">
        <v>279</v>
      </c>
      <c r="O118" s="173">
        <f t="shared" si="25"/>
        <v>255.33333333333334</v>
      </c>
      <c r="P118" s="173">
        <f t="shared" si="26"/>
        <v>-22.166666666666657</v>
      </c>
      <c r="Q118" s="177">
        <f t="shared" ref="Q118:Q124" si="28">SUM(P118/O117)</f>
        <v>-7.987987987987985E-2</v>
      </c>
    </row>
    <row r="119" spans="2:17" x14ac:dyDescent="0.2">
      <c r="B119" t="s">
        <v>279</v>
      </c>
      <c r="C119">
        <v>271</v>
      </c>
      <c r="D119">
        <v>264</v>
      </c>
      <c r="E119">
        <v>264</v>
      </c>
      <c r="F119">
        <v>265</v>
      </c>
      <c r="G119">
        <v>260</v>
      </c>
      <c r="H119">
        <v>261</v>
      </c>
      <c r="I119">
        <v>266</v>
      </c>
      <c r="J119">
        <v>257</v>
      </c>
      <c r="K119">
        <v>261</v>
      </c>
      <c r="L119">
        <v>270</v>
      </c>
      <c r="M119">
        <v>273</v>
      </c>
      <c r="N119">
        <v>267</v>
      </c>
      <c r="O119" s="173">
        <f t="shared" si="25"/>
        <v>264.91666666666669</v>
      </c>
      <c r="P119" s="173">
        <f t="shared" ref="P119:P124" si="29">SUM(O119-O118)</f>
        <v>9.5833333333333428</v>
      </c>
      <c r="Q119" s="177">
        <f t="shared" si="28"/>
        <v>3.7532637075718051E-2</v>
      </c>
    </row>
    <row r="120" spans="2:17" x14ac:dyDescent="0.2">
      <c r="B120" t="s">
        <v>317</v>
      </c>
      <c r="C120">
        <v>267</v>
      </c>
      <c r="D120">
        <v>266</v>
      </c>
      <c r="E120">
        <v>268</v>
      </c>
      <c r="F120">
        <v>273</v>
      </c>
      <c r="G120">
        <v>266</v>
      </c>
      <c r="H120">
        <v>255</v>
      </c>
      <c r="I120">
        <v>256</v>
      </c>
      <c r="J120">
        <v>248</v>
      </c>
      <c r="K120">
        <v>253</v>
      </c>
      <c r="L120">
        <v>255</v>
      </c>
      <c r="M120">
        <v>251</v>
      </c>
      <c r="N120">
        <v>255</v>
      </c>
      <c r="O120" s="173">
        <f t="shared" si="25"/>
        <v>259.41666666666669</v>
      </c>
      <c r="P120" s="173">
        <f t="shared" si="29"/>
        <v>-5.5</v>
      </c>
      <c r="Q120" s="177">
        <f t="shared" si="28"/>
        <v>-2.0761245674740483E-2</v>
      </c>
    </row>
    <row r="121" spans="2:17" x14ac:dyDescent="0.2">
      <c r="B121" t="s">
        <v>338</v>
      </c>
      <c r="C121">
        <v>260</v>
      </c>
      <c r="D121">
        <v>250</v>
      </c>
      <c r="E121">
        <v>251</v>
      </c>
      <c r="F121">
        <v>257</v>
      </c>
      <c r="G121">
        <v>258</v>
      </c>
      <c r="H121">
        <v>252</v>
      </c>
      <c r="I121">
        <v>247</v>
      </c>
      <c r="J121">
        <v>244</v>
      </c>
      <c r="K121">
        <v>299</v>
      </c>
      <c r="L121">
        <v>242</v>
      </c>
      <c r="M121">
        <v>246</v>
      </c>
      <c r="N121">
        <v>247</v>
      </c>
      <c r="O121" s="173">
        <f t="shared" si="25"/>
        <v>254.41666666666666</v>
      </c>
      <c r="P121" s="173">
        <f t="shared" si="29"/>
        <v>-5.0000000000000284</v>
      </c>
      <c r="Q121" s="177">
        <f t="shared" si="28"/>
        <v>-1.9274012206874507E-2</v>
      </c>
    </row>
    <row r="122" spans="2:17" x14ac:dyDescent="0.2">
      <c r="B122" t="s">
        <v>411</v>
      </c>
      <c r="C122">
        <v>247</v>
      </c>
      <c r="D122">
        <v>250</v>
      </c>
      <c r="E122">
        <v>259</v>
      </c>
      <c r="F122">
        <v>259</v>
      </c>
      <c r="G122">
        <v>260</v>
      </c>
      <c r="H122">
        <v>269</v>
      </c>
      <c r="I122">
        <v>253</v>
      </c>
      <c r="J122">
        <v>246</v>
      </c>
      <c r="K122">
        <v>259</v>
      </c>
      <c r="L122">
        <v>253</v>
      </c>
      <c r="M122">
        <v>236</v>
      </c>
      <c r="N122">
        <v>227</v>
      </c>
      <c r="O122" s="173">
        <f t="shared" si="25"/>
        <v>251.5</v>
      </c>
      <c r="P122" s="173">
        <f t="shared" si="29"/>
        <v>-2.9166666666666572</v>
      </c>
      <c r="Q122" s="177">
        <f t="shared" si="28"/>
        <v>-1.1464133639043526E-2</v>
      </c>
    </row>
    <row r="123" spans="2:17" x14ac:dyDescent="0.2">
      <c r="B123" t="s">
        <v>445</v>
      </c>
      <c r="C123">
        <v>230</v>
      </c>
      <c r="D123">
        <v>228</v>
      </c>
      <c r="E123">
        <v>245</v>
      </c>
      <c r="F123">
        <v>241</v>
      </c>
      <c r="G123">
        <v>241</v>
      </c>
      <c r="H123">
        <v>233</v>
      </c>
      <c r="I123">
        <v>245</v>
      </c>
      <c r="J123">
        <v>265</v>
      </c>
      <c r="K123">
        <v>258</v>
      </c>
      <c r="L123">
        <v>261</v>
      </c>
      <c r="M123">
        <v>241</v>
      </c>
      <c r="N123">
        <v>231</v>
      </c>
      <c r="O123" s="173">
        <f t="shared" si="25"/>
        <v>243.25</v>
      </c>
      <c r="P123" s="173">
        <f t="shared" si="29"/>
        <v>-8.25</v>
      </c>
      <c r="Q123" s="177">
        <f t="shared" si="28"/>
        <v>-3.2803180914512925E-2</v>
      </c>
    </row>
    <row r="124" spans="2:17" x14ac:dyDescent="0.2">
      <c r="B124" t="s">
        <v>510</v>
      </c>
      <c r="C124">
        <v>265</v>
      </c>
      <c r="D124">
        <v>253</v>
      </c>
      <c r="E124">
        <v>234</v>
      </c>
      <c r="F124">
        <v>254</v>
      </c>
      <c r="G124">
        <v>242</v>
      </c>
      <c r="H124">
        <v>256</v>
      </c>
      <c r="I124">
        <v>262</v>
      </c>
      <c r="J124">
        <v>264</v>
      </c>
      <c r="K124">
        <v>253</v>
      </c>
      <c r="L124">
        <v>262</v>
      </c>
      <c r="M124">
        <v>274</v>
      </c>
      <c r="N124">
        <v>288</v>
      </c>
      <c r="O124" s="173">
        <f t="shared" si="25"/>
        <v>258.91666666666669</v>
      </c>
      <c r="P124" s="173">
        <f t="shared" si="29"/>
        <v>15.666666666666686</v>
      </c>
      <c r="Q124" s="177">
        <f t="shared" si="28"/>
        <v>6.4405618362452968E-2</v>
      </c>
    </row>
    <row r="125" spans="2:17" x14ac:dyDescent="0.2">
      <c r="B125" t="s">
        <v>546</v>
      </c>
      <c r="C125">
        <v>270</v>
      </c>
      <c r="D125">
        <v>256</v>
      </c>
      <c r="E125">
        <v>264</v>
      </c>
      <c r="F125">
        <v>262</v>
      </c>
      <c r="G125">
        <v>273</v>
      </c>
      <c r="H125">
        <v>282</v>
      </c>
      <c r="I125">
        <v>278</v>
      </c>
      <c r="J125">
        <v>289</v>
      </c>
      <c r="K125">
        <v>303</v>
      </c>
      <c r="L125">
        <v>332</v>
      </c>
      <c r="M125">
        <v>335</v>
      </c>
      <c r="N125">
        <v>367</v>
      </c>
      <c r="O125" s="173">
        <f t="shared" si="25"/>
        <v>292.58333333333331</v>
      </c>
      <c r="P125" s="173">
        <f>SUM(O125-O124)</f>
        <v>33.666666666666629</v>
      </c>
      <c r="Q125" s="177">
        <f>SUM(P125/O124)</f>
        <v>0.13002896684905038</v>
      </c>
    </row>
    <row r="126" spans="2:17" x14ac:dyDescent="0.2">
      <c r="B126" t="s">
        <v>547</v>
      </c>
      <c r="C126">
        <v>331</v>
      </c>
      <c r="D126">
        <v>343</v>
      </c>
      <c r="E126">
        <v>340</v>
      </c>
      <c r="F126">
        <v>322</v>
      </c>
      <c r="G126">
        <v>332</v>
      </c>
      <c r="H126">
        <v>340</v>
      </c>
      <c r="I126">
        <v>347</v>
      </c>
      <c r="J126">
        <v>325</v>
      </c>
      <c r="K126">
        <v>319</v>
      </c>
      <c r="L126">
        <v>275</v>
      </c>
      <c r="M126">
        <v>268</v>
      </c>
      <c r="N126">
        <v>268</v>
      </c>
      <c r="O126" s="173">
        <f t="shared" si="25"/>
        <v>317.5</v>
      </c>
      <c r="P126" s="173">
        <f>SUM(O126-O125)</f>
        <v>24.916666666666686</v>
      </c>
      <c r="Q126" s="177">
        <f>SUM(P126/O125)</f>
        <v>8.5160922814013176E-2</v>
      </c>
    </row>
    <row r="127" spans="2:17" x14ac:dyDescent="0.2">
      <c r="B127" t="s">
        <v>817</v>
      </c>
      <c r="C127">
        <v>283</v>
      </c>
      <c r="D127">
        <v>280</v>
      </c>
      <c r="E127">
        <v>263</v>
      </c>
      <c r="F127">
        <v>262</v>
      </c>
      <c r="G127">
        <v>269</v>
      </c>
      <c r="H127">
        <v>266</v>
      </c>
      <c r="I127">
        <v>269</v>
      </c>
      <c r="J127">
        <v>261</v>
      </c>
      <c r="K127">
        <v>249</v>
      </c>
      <c r="L127">
        <v>248</v>
      </c>
      <c r="M127">
        <v>241</v>
      </c>
      <c r="N127">
        <v>237</v>
      </c>
      <c r="O127" s="173">
        <f t="shared" si="25"/>
        <v>260.66666666666669</v>
      </c>
      <c r="P127" s="173">
        <f>SUM(O127-O126)</f>
        <v>-56.833333333333314</v>
      </c>
      <c r="Q127" s="177">
        <f>SUM(P127/O126)</f>
        <v>-0.17900262467191594</v>
      </c>
    </row>
    <row r="128" spans="2:17" x14ac:dyDescent="0.2">
      <c r="B128" t="s">
        <v>818</v>
      </c>
      <c r="C128">
        <v>231</v>
      </c>
      <c r="D128">
        <v>219</v>
      </c>
      <c r="E128">
        <v>200</v>
      </c>
      <c r="F128">
        <v>182</v>
      </c>
      <c r="G128">
        <v>179</v>
      </c>
      <c r="H128">
        <v>185</v>
      </c>
      <c r="I128">
        <v>175</v>
      </c>
      <c r="J128">
        <v>174</v>
      </c>
      <c r="K128">
        <v>178</v>
      </c>
      <c r="L128">
        <v>204</v>
      </c>
      <c r="M128">
        <v>186</v>
      </c>
      <c r="N128">
        <v>188</v>
      </c>
      <c r="O128" s="173">
        <f t="shared" si="25"/>
        <v>191.75</v>
      </c>
      <c r="P128" s="173">
        <f>SUM(O128-O127)</f>
        <v>-68.916666666666686</v>
      </c>
      <c r="Q128" s="177">
        <f>SUM(P128/O127)</f>
        <v>-0.26438618925831209</v>
      </c>
    </row>
    <row r="129" spans="1:17" x14ac:dyDescent="0.2">
      <c r="B129" t="s">
        <v>899</v>
      </c>
      <c r="C129">
        <v>192</v>
      </c>
      <c r="D129">
        <v>185</v>
      </c>
      <c r="E129">
        <v>182</v>
      </c>
      <c r="F129">
        <v>184</v>
      </c>
      <c r="O129" s="173"/>
      <c r="P129" s="173"/>
      <c r="Q129" s="177"/>
    </row>
    <row r="130" spans="1:17" x14ac:dyDescent="0.2">
      <c r="A130" s="520"/>
      <c r="B130" s="520"/>
      <c r="C130" s="520"/>
      <c r="D130" s="520"/>
      <c r="E130" s="520"/>
      <c r="F130" s="520"/>
      <c r="G130" s="520"/>
      <c r="H130" s="520"/>
      <c r="I130" s="520"/>
      <c r="J130" s="520"/>
      <c r="K130" s="520"/>
      <c r="L130" s="520"/>
      <c r="M130" s="520"/>
      <c r="N130" s="520"/>
      <c r="O130" s="520"/>
      <c r="P130" s="520"/>
      <c r="Q130" s="520"/>
    </row>
    <row r="131" spans="1:17" ht="25.5" x14ac:dyDescent="0.2">
      <c r="A131" s="175" t="s">
        <v>418</v>
      </c>
      <c r="B131" s="176" t="s">
        <v>392</v>
      </c>
      <c r="C131" s="178" t="s">
        <v>393</v>
      </c>
      <c r="D131" s="178" t="s">
        <v>394</v>
      </c>
      <c r="E131" s="178" t="s">
        <v>395</v>
      </c>
      <c r="F131" s="178" t="s">
        <v>396</v>
      </c>
      <c r="G131" s="178" t="s">
        <v>397</v>
      </c>
      <c r="H131" s="178" t="s">
        <v>398</v>
      </c>
      <c r="I131" s="178" t="s">
        <v>399</v>
      </c>
      <c r="J131" s="178" t="s">
        <v>400</v>
      </c>
      <c r="K131" s="178" t="s">
        <v>401</v>
      </c>
      <c r="L131" s="178" t="s">
        <v>402</v>
      </c>
      <c r="M131" s="178" t="s">
        <v>403</v>
      </c>
      <c r="N131" s="178" t="s">
        <v>404</v>
      </c>
    </row>
    <row r="132" spans="1:17" x14ac:dyDescent="0.2">
      <c r="B132" t="s">
        <v>408</v>
      </c>
      <c r="C132">
        <v>204</v>
      </c>
      <c r="D132">
        <v>210</v>
      </c>
      <c r="E132">
        <v>215</v>
      </c>
      <c r="F132">
        <v>213</v>
      </c>
      <c r="G132">
        <v>212</v>
      </c>
      <c r="H132">
        <v>207</v>
      </c>
      <c r="I132">
        <v>200</v>
      </c>
      <c r="J132">
        <v>199</v>
      </c>
      <c r="K132">
        <v>192</v>
      </c>
      <c r="L132">
        <v>192</v>
      </c>
      <c r="M132">
        <v>181</v>
      </c>
      <c r="N132">
        <v>189</v>
      </c>
      <c r="O132" s="173">
        <f t="shared" ref="O132:O150" si="30">SUM(C132:N132)/12</f>
        <v>201.16666666666666</v>
      </c>
      <c r="P132" s="173"/>
    </row>
    <row r="133" spans="1:17" x14ac:dyDescent="0.2">
      <c r="B133" t="s">
        <v>409</v>
      </c>
      <c r="C133">
        <v>191</v>
      </c>
      <c r="D133">
        <v>194</v>
      </c>
      <c r="E133">
        <v>194</v>
      </c>
      <c r="F133">
        <v>191</v>
      </c>
      <c r="G133">
        <v>191</v>
      </c>
      <c r="H133">
        <v>198</v>
      </c>
      <c r="I133">
        <v>185</v>
      </c>
      <c r="J133">
        <v>192</v>
      </c>
      <c r="K133">
        <v>188</v>
      </c>
      <c r="L133">
        <v>198</v>
      </c>
      <c r="M133">
        <v>203</v>
      </c>
      <c r="N133">
        <v>203</v>
      </c>
      <c r="O133" s="173">
        <f t="shared" si="30"/>
        <v>194</v>
      </c>
      <c r="P133" s="173">
        <f t="shared" ref="P133:P140" si="31">SUM(O133-O132)</f>
        <v>-7.1666666666666572</v>
      </c>
      <c r="Q133" s="177">
        <f t="shared" ref="Q133:Q139" si="32">SUM(P133/O132)</f>
        <v>-3.5625517812758863E-2</v>
      </c>
    </row>
    <row r="134" spans="1:17" x14ac:dyDescent="0.2">
      <c r="B134" t="s">
        <v>410</v>
      </c>
      <c r="C134">
        <v>201</v>
      </c>
      <c r="D134">
        <v>196</v>
      </c>
      <c r="E134">
        <v>198</v>
      </c>
      <c r="F134">
        <v>188</v>
      </c>
      <c r="G134">
        <v>188</v>
      </c>
      <c r="H134">
        <v>192</v>
      </c>
      <c r="I134">
        <v>189</v>
      </c>
      <c r="J134">
        <v>200</v>
      </c>
      <c r="K134">
        <v>219</v>
      </c>
      <c r="L134">
        <v>228</v>
      </c>
      <c r="M134">
        <v>234</v>
      </c>
      <c r="N134">
        <v>237</v>
      </c>
      <c r="O134" s="173">
        <f t="shared" si="30"/>
        <v>205.83333333333334</v>
      </c>
      <c r="P134" s="173">
        <f t="shared" si="31"/>
        <v>11.833333333333343</v>
      </c>
      <c r="Q134" s="177">
        <f t="shared" si="32"/>
        <v>6.0996563573883208E-2</v>
      </c>
    </row>
    <row r="135" spans="1:17" x14ac:dyDescent="0.2">
      <c r="B135" t="s">
        <v>244</v>
      </c>
      <c r="C135">
        <v>246</v>
      </c>
      <c r="D135">
        <v>242</v>
      </c>
      <c r="E135">
        <v>245</v>
      </c>
      <c r="F135">
        <v>245</v>
      </c>
      <c r="G135">
        <v>245</v>
      </c>
      <c r="H135">
        <v>245</v>
      </c>
      <c r="I135">
        <v>245</v>
      </c>
      <c r="J135">
        <v>245</v>
      </c>
      <c r="K135">
        <v>245</v>
      </c>
      <c r="L135">
        <v>245</v>
      </c>
      <c r="M135">
        <v>245</v>
      </c>
      <c r="N135">
        <v>245</v>
      </c>
      <c r="O135" s="173">
        <f t="shared" si="30"/>
        <v>244.83333333333334</v>
      </c>
      <c r="P135" s="173">
        <f t="shared" si="31"/>
        <v>39</v>
      </c>
      <c r="Q135" s="177">
        <f t="shared" si="32"/>
        <v>0.18947368421052629</v>
      </c>
    </row>
    <row r="136" spans="1:17" x14ac:dyDescent="0.2">
      <c r="B136" t="s">
        <v>243</v>
      </c>
      <c r="C136">
        <v>219</v>
      </c>
      <c r="D136">
        <v>239</v>
      </c>
      <c r="E136">
        <v>239</v>
      </c>
      <c r="F136">
        <v>242</v>
      </c>
      <c r="G136">
        <v>237</v>
      </c>
      <c r="H136">
        <v>248</v>
      </c>
      <c r="I136">
        <v>255</v>
      </c>
      <c r="J136">
        <v>262</v>
      </c>
      <c r="K136">
        <v>263</v>
      </c>
      <c r="L136">
        <v>274</v>
      </c>
      <c r="M136">
        <v>266</v>
      </c>
      <c r="N136">
        <v>278</v>
      </c>
      <c r="O136" s="173">
        <f t="shared" si="30"/>
        <v>251.83333333333334</v>
      </c>
      <c r="P136" s="173">
        <f t="shared" si="31"/>
        <v>7</v>
      </c>
      <c r="Q136" s="177">
        <f t="shared" si="32"/>
        <v>2.8590878148400271E-2</v>
      </c>
    </row>
    <row r="137" spans="1:17" x14ac:dyDescent="0.2">
      <c r="B137" t="s">
        <v>264</v>
      </c>
      <c r="C137">
        <v>278</v>
      </c>
      <c r="D137">
        <v>279</v>
      </c>
      <c r="E137">
        <v>277</v>
      </c>
      <c r="F137">
        <v>279</v>
      </c>
      <c r="G137">
        <v>282</v>
      </c>
      <c r="H137">
        <v>282</v>
      </c>
      <c r="I137">
        <v>287</v>
      </c>
      <c r="J137">
        <v>293</v>
      </c>
      <c r="K137">
        <v>299</v>
      </c>
      <c r="L137">
        <v>299</v>
      </c>
      <c r="M137">
        <v>316</v>
      </c>
      <c r="N137">
        <v>325</v>
      </c>
      <c r="O137" s="173">
        <f t="shared" si="30"/>
        <v>291.33333333333331</v>
      </c>
      <c r="P137" s="173">
        <f t="shared" si="31"/>
        <v>39.499999999999972</v>
      </c>
      <c r="Q137" s="177">
        <f t="shared" si="32"/>
        <v>0.15684976836532086</v>
      </c>
    </row>
    <row r="138" spans="1:17" x14ac:dyDescent="0.2">
      <c r="B138" t="s">
        <v>274</v>
      </c>
      <c r="C138">
        <v>335</v>
      </c>
      <c r="D138">
        <v>349</v>
      </c>
      <c r="E138">
        <v>352</v>
      </c>
      <c r="F138">
        <v>352</v>
      </c>
      <c r="G138">
        <v>348</v>
      </c>
      <c r="H138">
        <v>363</v>
      </c>
      <c r="I138">
        <v>362</v>
      </c>
      <c r="J138">
        <v>370</v>
      </c>
      <c r="K138">
        <v>376</v>
      </c>
      <c r="L138">
        <v>393</v>
      </c>
      <c r="M138">
        <v>401</v>
      </c>
      <c r="N138">
        <v>400</v>
      </c>
      <c r="O138" s="173">
        <f t="shared" si="30"/>
        <v>366.75</v>
      </c>
      <c r="P138" s="173">
        <f t="shared" si="31"/>
        <v>75.416666666666686</v>
      </c>
      <c r="Q138" s="177">
        <f t="shared" si="32"/>
        <v>0.25886727688787192</v>
      </c>
    </row>
    <row r="139" spans="1:17" x14ac:dyDescent="0.2">
      <c r="B139" t="s">
        <v>277</v>
      </c>
      <c r="C139">
        <v>397</v>
      </c>
      <c r="D139">
        <v>402</v>
      </c>
      <c r="E139">
        <v>398</v>
      </c>
      <c r="F139">
        <v>408</v>
      </c>
      <c r="G139">
        <v>409</v>
      </c>
      <c r="H139">
        <v>416</v>
      </c>
      <c r="I139">
        <v>415</v>
      </c>
      <c r="J139">
        <v>414</v>
      </c>
      <c r="K139">
        <v>405</v>
      </c>
      <c r="L139">
        <v>486</v>
      </c>
      <c r="M139">
        <v>472</v>
      </c>
      <c r="N139">
        <v>409</v>
      </c>
      <c r="O139" s="173">
        <f t="shared" si="30"/>
        <v>419.25</v>
      </c>
      <c r="P139" s="173">
        <f t="shared" si="31"/>
        <v>52.5</v>
      </c>
      <c r="Q139" s="177">
        <f t="shared" si="32"/>
        <v>0.14314928425357873</v>
      </c>
    </row>
    <row r="140" spans="1:17" x14ac:dyDescent="0.2">
      <c r="B140" t="s">
        <v>278</v>
      </c>
      <c r="C140">
        <v>426</v>
      </c>
      <c r="D140">
        <v>431</v>
      </c>
      <c r="E140">
        <v>506</v>
      </c>
      <c r="F140">
        <v>455</v>
      </c>
      <c r="G140">
        <v>489</v>
      </c>
      <c r="H140">
        <v>513</v>
      </c>
      <c r="I140">
        <v>514</v>
      </c>
      <c r="J140">
        <v>518</v>
      </c>
      <c r="K140">
        <v>505</v>
      </c>
      <c r="L140">
        <v>502</v>
      </c>
      <c r="M140">
        <v>516</v>
      </c>
      <c r="N140">
        <v>530</v>
      </c>
      <c r="O140" s="173">
        <f t="shared" si="30"/>
        <v>492.08333333333331</v>
      </c>
      <c r="P140" s="173">
        <f t="shared" si="31"/>
        <v>72.833333333333314</v>
      </c>
      <c r="Q140" s="177">
        <f t="shared" ref="Q140:Q146" si="33">SUM(P140/O139)</f>
        <v>0.17372291790896438</v>
      </c>
    </row>
    <row r="141" spans="1:17" x14ac:dyDescent="0.2">
      <c r="B141" t="s">
        <v>279</v>
      </c>
      <c r="C141">
        <v>482</v>
      </c>
      <c r="D141">
        <v>466</v>
      </c>
      <c r="E141">
        <v>463</v>
      </c>
      <c r="F141">
        <v>466</v>
      </c>
      <c r="G141">
        <v>455</v>
      </c>
      <c r="H141">
        <v>458</v>
      </c>
      <c r="I141">
        <v>448</v>
      </c>
      <c r="J141">
        <v>451</v>
      </c>
      <c r="K141">
        <v>454</v>
      </c>
      <c r="L141">
        <v>449</v>
      </c>
      <c r="M141">
        <v>443</v>
      </c>
      <c r="N141">
        <v>447</v>
      </c>
      <c r="O141" s="173">
        <f t="shared" si="30"/>
        <v>456.83333333333331</v>
      </c>
      <c r="P141" s="173">
        <f t="shared" ref="P141:P146" si="34">SUM(O141-O140)</f>
        <v>-35.25</v>
      </c>
      <c r="Q141" s="177">
        <f t="shared" si="33"/>
        <v>-7.1634208298052504E-2</v>
      </c>
    </row>
    <row r="142" spans="1:17" x14ac:dyDescent="0.2">
      <c r="B142" t="s">
        <v>317</v>
      </c>
      <c r="C142">
        <v>441</v>
      </c>
      <c r="D142">
        <v>439</v>
      </c>
      <c r="E142">
        <v>439</v>
      </c>
      <c r="F142">
        <v>426</v>
      </c>
      <c r="G142">
        <v>432</v>
      </c>
      <c r="H142">
        <v>465</v>
      </c>
      <c r="I142">
        <v>452</v>
      </c>
      <c r="J142">
        <v>441</v>
      </c>
      <c r="K142">
        <v>443</v>
      </c>
      <c r="L142">
        <v>462</v>
      </c>
      <c r="M142">
        <v>480</v>
      </c>
      <c r="N142">
        <v>467</v>
      </c>
      <c r="O142" s="173">
        <f t="shared" si="30"/>
        <v>448.91666666666669</v>
      </c>
      <c r="P142" s="173">
        <f t="shared" si="34"/>
        <v>-7.9166666666666288</v>
      </c>
      <c r="Q142" s="177">
        <f t="shared" si="33"/>
        <v>-1.7329441809558473E-2</v>
      </c>
    </row>
    <row r="143" spans="1:17" x14ac:dyDescent="0.2">
      <c r="B143" t="s">
        <v>338</v>
      </c>
      <c r="C143">
        <v>465</v>
      </c>
      <c r="D143">
        <v>456</v>
      </c>
      <c r="E143">
        <v>455</v>
      </c>
      <c r="F143">
        <v>464</v>
      </c>
      <c r="G143">
        <v>461</v>
      </c>
      <c r="H143">
        <v>470</v>
      </c>
      <c r="I143">
        <v>443</v>
      </c>
      <c r="J143">
        <v>469</v>
      </c>
      <c r="K143">
        <v>478</v>
      </c>
      <c r="L143">
        <v>471</v>
      </c>
      <c r="M143">
        <v>457</v>
      </c>
      <c r="N143">
        <v>468</v>
      </c>
      <c r="O143" s="173">
        <f t="shared" si="30"/>
        <v>463.08333333333331</v>
      </c>
      <c r="P143" s="173">
        <f t="shared" si="34"/>
        <v>14.166666666666629</v>
      </c>
      <c r="Q143" s="177">
        <f t="shared" si="33"/>
        <v>3.1557453127900419E-2</v>
      </c>
    </row>
    <row r="144" spans="1:17" x14ac:dyDescent="0.2">
      <c r="B144" t="s">
        <v>411</v>
      </c>
      <c r="C144">
        <v>486</v>
      </c>
      <c r="D144">
        <v>496</v>
      </c>
      <c r="E144">
        <v>489</v>
      </c>
      <c r="F144">
        <v>495</v>
      </c>
      <c r="G144">
        <v>495</v>
      </c>
      <c r="H144">
        <v>495</v>
      </c>
      <c r="I144">
        <v>495</v>
      </c>
      <c r="J144">
        <v>500</v>
      </c>
      <c r="K144">
        <v>502</v>
      </c>
      <c r="L144">
        <v>508</v>
      </c>
      <c r="M144">
        <v>497</v>
      </c>
      <c r="N144">
        <v>504</v>
      </c>
      <c r="O144" s="173">
        <f t="shared" si="30"/>
        <v>496.83333333333331</v>
      </c>
      <c r="P144" s="173">
        <f t="shared" si="34"/>
        <v>33.75</v>
      </c>
      <c r="Q144" s="177">
        <f t="shared" si="33"/>
        <v>7.2881050926759047E-2</v>
      </c>
    </row>
    <row r="145" spans="1:18" x14ac:dyDescent="0.2">
      <c r="B145" t="s">
        <v>445</v>
      </c>
      <c r="C145">
        <v>496</v>
      </c>
      <c r="D145">
        <v>494</v>
      </c>
      <c r="E145">
        <v>478</v>
      </c>
      <c r="F145">
        <v>497</v>
      </c>
      <c r="G145">
        <v>499</v>
      </c>
      <c r="H145">
        <v>494</v>
      </c>
      <c r="I145">
        <v>489</v>
      </c>
      <c r="J145">
        <v>495</v>
      </c>
      <c r="K145">
        <v>490</v>
      </c>
      <c r="L145">
        <v>488</v>
      </c>
      <c r="M145">
        <v>497</v>
      </c>
      <c r="N145">
        <v>488</v>
      </c>
      <c r="O145" s="173">
        <f t="shared" si="30"/>
        <v>492.08333333333331</v>
      </c>
      <c r="P145" s="173">
        <f t="shared" si="34"/>
        <v>-4.75</v>
      </c>
      <c r="Q145" s="177">
        <f t="shared" si="33"/>
        <v>-9.5605501509560559E-3</v>
      </c>
    </row>
    <row r="146" spans="1:18" x14ac:dyDescent="0.2">
      <c r="B146" t="s">
        <v>510</v>
      </c>
      <c r="C146">
        <v>487</v>
      </c>
      <c r="D146">
        <v>474</v>
      </c>
      <c r="E146">
        <v>466</v>
      </c>
      <c r="F146">
        <v>470</v>
      </c>
      <c r="G146">
        <v>464</v>
      </c>
      <c r="H146">
        <v>474</v>
      </c>
      <c r="I146">
        <v>469</v>
      </c>
      <c r="J146">
        <v>478</v>
      </c>
      <c r="K146">
        <v>472</v>
      </c>
      <c r="L146">
        <v>468</v>
      </c>
      <c r="M146">
        <v>474</v>
      </c>
      <c r="N146">
        <v>471</v>
      </c>
      <c r="O146" s="173">
        <f t="shared" si="30"/>
        <v>472.25</v>
      </c>
      <c r="P146" s="173">
        <f t="shared" si="34"/>
        <v>-19.833333333333314</v>
      </c>
      <c r="Q146" s="177">
        <f t="shared" si="33"/>
        <v>-4.0304826418289551E-2</v>
      </c>
    </row>
    <row r="147" spans="1:18" x14ac:dyDescent="0.2">
      <c r="B147" t="s">
        <v>546</v>
      </c>
      <c r="C147">
        <v>468</v>
      </c>
      <c r="D147">
        <v>469</v>
      </c>
      <c r="E147">
        <v>451</v>
      </c>
      <c r="F147">
        <v>438</v>
      </c>
      <c r="G147">
        <v>433</v>
      </c>
      <c r="H147">
        <v>425</v>
      </c>
      <c r="I147">
        <v>420</v>
      </c>
      <c r="J147">
        <v>419</v>
      </c>
      <c r="K147">
        <v>418</v>
      </c>
      <c r="L147">
        <v>421</v>
      </c>
      <c r="M147">
        <v>413</v>
      </c>
      <c r="N147">
        <v>411</v>
      </c>
      <c r="O147" s="173">
        <f t="shared" si="30"/>
        <v>432.16666666666669</v>
      </c>
      <c r="P147" s="173">
        <f>SUM(O147-O146)</f>
        <v>-40.083333333333314</v>
      </c>
      <c r="Q147" s="177">
        <f>SUM(P147/O146)</f>
        <v>-8.4877360155284937E-2</v>
      </c>
    </row>
    <row r="148" spans="1:18" x14ac:dyDescent="0.2">
      <c r="B148" t="s">
        <v>547</v>
      </c>
      <c r="C148">
        <v>402</v>
      </c>
      <c r="D148">
        <v>427</v>
      </c>
      <c r="E148">
        <v>427</v>
      </c>
      <c r="F148">
        <v>429</v>
      </c>
      <c r="G148">
        <v>429</v>
      </c>
      <c r="H148">
        <v>433</v>
      </c>
      <c r="I148">
        <v>429</v>
      </c>
      <c r="J148">
        <v>440</v>
      </c>
      <c r="K148">
        <v>435</v>
      </c>
      <c r="L148">
        <v>433</v>
      </c>
      <c r="M148">
        <v>428</v>
      </c>
      <c r="N148">
        <v>425</v>
      </c>
      <c r="O148" s="173">
        <f t="shared" si="30"/>
        <v>428.08333333333331</v>
      </c>
      <c r="P148" s="173">
        <f>SUM(O148-O147)</f>
        <v>-4.0833333333333712</v>
      </c>
      <c r="Q148" s="177">
        <f>SUM(P148/O147)</f>
        <v>-9.4485152333205653E-3</v>
      </c>
    </row>
    <row r="149" spans="1:18" x14ac:dyDescent="0.2">
      <c r="B149" t="s">
        <v>817</v>
      </c>
      <c r="C149">
        <v>426</v>
      </c>
      <c r="D149">
        <v>427</v>
      </c>
      <c r="E149">
        <v>432</v>
      </c>
      <c r="F149">
        <v>435</v>
      </c>
      <c r="G149">
        <v>425</v>
      </c>
      <c r="H149">
        <v>423</v>
      </c>
      <c r="I149">
        <v>420</v>
      </c>
      <c r="J149">
        <v>418</v>
      </c>
      <c r="K149">
        <v>405</v>
      </c>
      <c r="L149">
        <v>390</v>
      </c>
      <c r="M149">
        <v>387</v>
      </c>
      <c r="N149">
        <v>384</v>
      </c>
      <c r="O149" s="173">
        <f t="shared" si="30"/>
        <v>414.33333333333331</v>
      </c>
      <c r="P149" s="173">
        <f>SUM(O149-O148)</f>
        <v>-13.75</v>
      </c>
      <c r="Q149" s="177">
        <f>SUM(P149/O148)</f>
        <v>-3.2119914346895075E-2</v>
      </c>
    </row>
    <row r="150" spans="1:18" x14ac:dyDescent="0.2">
      <c r="B150" t="s">
        <v>818</v>
      </c>
      <c r="C150">
        <v>368</v>
      </c>
      <c r="D150">
        <v>345</v>
      </c>
      <c r="E150">
        <v>332</v>
      </c>
      <c r="F150">
        <v>328</v>
      </c>
      <c r="G150">
        <v>320</v>
      </c>
      <c r="H150">
        <v>329</v>
      </c>
      <c r="I150">
        <v>320</v>
      </c>
      <c r="J150">
        <v>317</v>
      </c>
      <c r="K150">
        <v>361</v>
      </c>
      <c r="L150">
        <v>355</v>
      </c>
      <c r="M150">
        <v>322</v>
      </c>
      <c r="N150">
        <v>311</v>
      </c>
      <c r="O150" s="173">
        <f t="shared" si="30"/>
        <v>334</v>
      </c>
      <c r="P150" s="173">
        <f>SUM(O150-O149)</f>
        <v>-80.333333333333314</v>
      </c>
      <c r="Q150" s="177">
        <f>SUM(P150/O149)</f>
        <v>-0.19388576025744164</v>
      </c>
      <c r="R150" t="s">
        <v>902</v>
      </c>
    </row>
    <row r="151" spans="1:18" x14ac:dyDescent="0.2">
      <c r="B151" t="s">
        <v>899</v>
      </c>
      <c r="C151">
        <v>304</v>
      </c>
      <c r="D151">
        <v>290</v>
      </c>
      <c r="E151">
        <v>283</v>
      </c>
      <c r="F151">
        <v>280</v>
      </c>
      <c r="O151" s="173"/>
      <c r="P151" s="173"/>
      <c r="Q151" s="177"/>
    </row>
    <row r="152" spans="1:18" ht="25.5" x14ac:dyDescent="0.2">
      <c r="A152" s="175" t="s">
        <v>419</v>
      </c>
      <c r="B152" s="176" t="s">
        <v>392</v>
      </c>
      <c r="C152" s="178" t="s">
        <v>393</v>
      </c>
      <c r="D152" s="178" t="s">
        <v>394</v>
      </c>
      <c r="E152" s="178" t="s">
        <v>395</v>
      </c>
      <c r="F152" s="178" t="s">
        <v>396</v>
      </c>
      <c r="G152" s="178" t="s">
        <v>397</v>
      </c>
      <c r="H152" s="178" t="s">
        <v>398</v>
      </c>
      <c r="I152" s="178" t="s">
        <v>399</v>
      </c>
      <c r="J152" s="178" t="s">
        <v>400</v>
      </c>
      <c r="K152" s="178" t="s">
        <v>401</v>
      </c>
      <c r="L152" s="178" t="s">
        <v>402</v>
      </c>
      <c r="M152" s="178" t="s">
        <v>403</v>
      </c>
      <c r="N152" s="178" t="s">
        <v>404</v>
      </c>
    </row>
    <row r="153" spans="1:18" x14ac:dyDescent="0.2">
      <c r="B153" t="s">
        <v>408</v>
      </c>
      <c r="C153">
        <v>173</v>
      </c>
      <c r="D153">
        <v>167</v>
      </c>
      <c r="E153">
        <v>163</v>
      </c>
      <c r="F153">
        <v>169</v>
      </c>
      <c r="G153">
        <v>161</v>
      </c>
      <c r="H153">
        <v>164</v>
      </c>
      <c r="I153">
        <v>156</v>
      </c>
      <c r="J153">
        <v>157</v>
      </c>
      <c r="K153">
        <v>148</v>
      </c>
      <c r="L153">
        <v>156</v>
      </c>
      <c r="M153">
        <v>171</v>
      </c>
      <c r="N153">
        <v>177</v>
      </c>
      <c r="O153" s="173">
        <f t="shared" ref="O153:O171" si="35">SUM(C153:N153)/12</f>
        <v>163.5</v>
      </c>
      <c r="P153" s="173"/>
    </row>
    <row r="154" spans="1:18" x14ac:dyDescent="0.2">
      <c r="B154" t="s">
        <v>409</v>
      </c>
      <c r="C154">
        <v>169</v>
      </c>
      <c r="D154">
        <v>160</v>
      </c>
      <c r="E154">
        <v>150</v>
      </c>
      <c r="F154">
        <v>143</v>
      </c>
      <c r="G154">
        <v>143</v>
      </c>
      <c r="H154">
        <v>140</v>
      </c>
      <c r="I154">
        <v>144</v>
      </c>
      <c r="J154">
        <v>152</v>
      </c>
      <c r="K154">
        <v>152</v>
      </c>
      <c r="L154">
        <v>143</v>
      </c>
      <c r="M154">
        <v>151</v>
      </c>
      <c r="N154">
        <v>152</v>
      </c>
      <c r="O154" s="173">
        <f t="shared" si="35"/>
        <v>149.91666666666666</v>
      </c>
      <c r="P154" s="173">
        <f t="shared" ref="P154:P161" si="36">SUM(O154-O153)</f>
        <v>-13.583333333333343</v>
      </c>
      <c r="Q154" s="177">
        <f t="shared" ref="Q154:Q160" si="37">SUM(P154/O153)</f>
        <v>-8.3078491335372123E-2</v>
      </c>
    </row>
    <row r="155" spans="1:18" x14ac:dyDescent="0.2">
      <c r="B155" t="s">
        <v>410</v>
      </c>
      <c r="C155">
        <v>144</v>
      </c>
      <c r="D155">
        <v>141</v>
      </c>
      <c r="E155">
        <v>140</v>
      </c>
      <c r="F155">
        <v>142</v>
      </c>
      <c r="G155">
        <v>138</v>
      </c>
      <c r="H155">
        <v>143</v>
      </c>
      <c r="I155">
        <v>143</v>
      </c>
      <c r="J155">
        <v>152</v>
      </c>
      <c r="K155">
        <v>157</v>
      </c>
      <c r="L155">
        <v>162</v>
      </c>
      <c r="M155">
        <v>167</v>
      </c>
      <c r="N155">
        <v>172</v>
      </c>
      <c r="O155" s="173">
        <f t="shared" si="35"/>
        <v>150.08333333333334</v>
      </c>
      <c r="P155" s="173">
        <f t="shared" si="36"/>
        <v>0.16666666666668561</v>
      </c>
      <c r="Q155" s="177">
        <f t="shared" si="37"/>
        <v>1.1117287381880085E-3</v>
      </c>
    </row>
    <row r="156" spans="1:18" x14ac:dyDescent="0.2">
      <c r="B156" t="s">
        <v>244</v>
      </c>
      <c r="C156">
        <v>175</v>
      </c>
      <c r="D156">
        <v>144</v>
      </c>
      <c r="E156">
        <v>144</v>
      </c>
      <c r="F156">
        <v>144</v>
      </c>
      <c r="G156">
        <v>153</v>
      </c>
      <c r="H156">
        <v>153</v>
      </c>
      <c r="I156">
        <v>153</v>
      </c>
      <c r="J156">
        <v>153</v>
      </c>
      <c r="K156">
        <v>153</v>
      </c>
      <c r="L156">
        <v>162</v>
      </c>
      <c r="M156">
        <v>167</v>
      </c>
      <c r="N156">
        <v>172</v>
      </c>
      <c r="O156" s="173">
        <f t="shared" si="35"/>
        <v>156.08333333333334</v>
      </c>
      <c r="P156" s="173">
        <f t="shared" si="36"/>
        <v>6</v>
      </c>
      <c r="Q156" s="177">
        <f t="shared" si="37"/>
        <v>3.9977790116601887E-2</v>
      </c>
    </row>
    <row r="157" spans="1:18" x14ac:dyDescent="0.2">
      <c r="B157" t="s">
        <v>243</v>
      </c>
      <c r="C157">
        <v>189</v>
      </c>
      <c r="D157">
        <v>147</v>
      </c>
      <c r="E157">
        <v>150</v>
      </c>
      <c r="F157">
        <v>149</v>
      </c>
      <c r="G157">
        <v>143</v>
      </c>
      <c r="H157">
        <v>144</v>
      </c>
      <c r="I157">
        <v>145</v>
      </c>
      <c r="J157">
        <v>150</v>
      </c>
      <c r="K157">
        <v>156</v>
      </c>
      <c r="L157">
        <v>156</v>
      </c>
      <c r="M157">
        <v>137</v>
      </c>
      <c r="N157">
        <v>137</v>
      </c>
      <c r="O157" s="173">
        <f t="shared" si="35"/>
        <v>150.25</v>
      </c>
      <c r="P157" s="173">
        <f t="shared" si="36"/>
        <v>-5.8333333333333428</v>
      </c>
      <c r="Q157" s="177">
        <f t="shared" si="37"/>
        <v>-3.7373198077949872E-2</v>
      </c>
    </row>
    <row r="158" spans="1:18" x14ac:dyDescent="0.2">
      <c r="B158" t="s">
        <v>264</v>
      </c>
      <c r="C158">
        <v>121</v>
      </c>
      <c r="D158">
        <v>120</v>
      </c>
      <c r="E158">
        <v>127</v>
      </c>
      <c r="F158">
        <v>130</v>
      </c>
      <c r="G158">
        <v>134</v>
      </c>
      <c r="H158">
        <v>143</v>
      </c>
      <c r="I158">
        <v>142</v>
      </c>
      <c r="J158">
        <v>138</v>
      </c>
      <c r="K158">
        <v>139</v>
      </c>
      <c r="L158">
        <v>146</v>
      </c>
      <c r="M158">
        <v>148</v>
      </c>
      <c r="N158">
        <v>147</v>
      </c>
      <c r="O158" s="173">
        <f t="shared" si="35"/>
        <v>136.25</v>
      </c>
      <c r="P158" s="173">
        <f t="shared" si="36"/>
        <v>-14</v>
      </c>
      <c r="Q158" s="177">
        <f t="shared" si="37"/>
        <v>-9.3178036605657238E-2</v>
      </c>
    </row>
    <row r="159" spans="1:18" x14ac:dyDescent="0.2">
      <c r="B159" t="s">
        <v>274</v>
      </c>
      <c r="C159">
        <v>146</v>
      </c>
      <c r="D159">
        <v>146</v>
      </c>
      <c r="E159">
        <v>146</v>
      </c>
      <c r="F159">
        <v>152</v>
      </c>
      <c r="G159">
        <v>150</v>
      </c>
      <c r="H159">
        <v>141</v>
      </c>
      <c r="I159">
        <v>136</v>
      </c>
      <c r="J159">
        <v>139</v>
      </c>
      <c r="K159">
        <v>141</v>
      </c>
      <c r="L159">
        <v>149</v>
      </c>
      <c r="M159">
        <v>155</v>
      </c>
      <c r="N159">
        <v>142</v>
      </c>
      <c r="O159" s="173">
        <f t="shared" si="35"/>
        <v>145.25</v>
      </c>
      <c r="P159" s="173">
        <f t="shared" si="36"/>
        <v>9</v>
      </c>
      <c r="Q159" s="177">
        <f t="shared" si="37"/>
        <v>6.6055045871559637E-2</v>
      </c>
    </row>
    <row r="160" spans="1:18" x14ac:dyDescent="0.2">
      <c r="B160" t="s">
        <v>277</v>
      </c>
      <c r="C160">
        <v>148</v>
      </c>
      <c r="D160">
        <v>149</v>
      </c>
      <c r="E160">
        <v>149</v>
      </c>
      <c r="F160">
        <v>151</v>
      </c>
      <c r="G160">
        <v>139</v>
      </c>
      <c r="H160">
        <v>141</v>
      </c>
      <c r="I160">
        <v>136</v>
      </c>
      <c r="J160">
        <v>148</v>
      </c>
      <c r="K160">
        <v>146</v>
      </c>
      <c r="L160">
        <v>210</v>
      </c>
      <c r="M160">
        <v>211</v>
      </c>
      <c r="N160">
        <v>152</v>
      </c>
      <c r="O160" s="173">
        <f t="shared" si="35"/>
        <v>156.66666666666666</v>
      </c>
      <c r="P160" s="173">
        <f t="shared" si="36"/>
        <v>11.416666666666657</v>
      </c>
      <c r="Q160" s="177">
        <f t="shared" si="37"/>
        <v>7.8600114744692987E-2</v>
      </c>
    </row>
    <row r="161" spans="1:17" x14ac:dyDescent="0.2">
      <c r="B161" t="s">
        <v>278</v>
      </c>
      <c r="C161">
        <v>146</v>
      </c>
      <c r="D161">
        <v>150</v>
      </c>
      <c r="E161">
        <v>146</v>
      </c>
      <c r="F161">
        <v>146</v>
      </c>
      <c r="G161">
        <v>114</v>
      </c>
      <c r="H161">
        <v>99</v>
      </c>
      <c r="I161">
        <v>169</v>
      </c>
      <c r="J161">
        <v>145</v>
      </c>
      <c r="K161">
        <v>145</v>
      </c>
      <c r="L161">
        <v>145</v>
      </c>
      <c r="M161">
        <v>139</v>
      </c>
      <c r="N161">
        <v>138</v>
      </c>
      <c r="O161" s="173">
        <f t="shared" si="35"/>
        <v>140.16666666666666</v>
      </c>
      <c r="P161" s="173">
        <f t="shared" si="36"/>
        <v>-16.5</v>
      </c>
      <c r="Q161" s="177">
        <f t="shared" ref="Q161:Q167" si="38">SUM(P161/O160)</f>
        <v>-0.10531914893617023</v>
      </c>
    </row>
    <row r="162" spans="1:17" x14ac:dyDescent="0.2">
      <c r="B162" t="s">
        <v>279</v>
      </c>
      <c r="C162">
        <v>133</v>
      </c>
      <c r="D162">
        <v>135</v>
      </c>
      <c r="E162">
        <v>136</v>
      </c>
      <c r="F162">
        <v>143</v>
      </c>
      <c r="G162">
        <v>140</v>
      </c>
      <c r="H162">
        <v>144</v>
      </c>
      <c r="I162">
        <v>145</v>
      </c>
      <c r="J162">
        <v>144</v>
      </c>
      <c r="K162">
        <v>166</v>
      </c>
      <c r="L162">
        <v>162</v>
      </c>
      <c r="M162">
        <v>166</v>
      </c>
      <c r="N162">
        <v>161</v>
      </c>
      <c r="O162" s="173">
        <f t="shared" si="35"/>
        <v>147.91666666666666</v>
      </c>
      <c r="P162" s="173">
        <f t="shared" ref="P162:P167" si="39">SUM(O162-O161)</f>
        <v>7.75</v>
      </c>
      <c r="Q162" s="177">
        <f t="shared" si="38"/>
        <v>5.5291319857312726E-2</v>
      </c>
    </row>
    <row r="163" spans="1:17" x14ac:dyDescent="0.2">
      <c r="B163" t="s">
        <v>317</v>
      </c>
      <c r="C163">
        <v>159</v>
      </c>
      <c r="D163">
        <v>157</v>
      </c>
      <c r="E163">
        <v>154</v>
      </c>
      <c r="F163">
        <v>156</v>
      </c>
      <c r="G163">
        <v>155</v>
      </c>
      <c r="H163">
        <v>151</v>
      </c>
      <c r="I163">
        <v>152</v>
      </c>
      <c r="J163">
        <v>148</v>
      </c>
      <c r="K163">
        <v>152</v>
      </c>
      <c r="L163">
        <v>155</v>
      </c>
      <c r="M163">
        <v>161</v>
      </c>
      <c r="N163">
        <v>156</v>
      </c>
      <c r="O163" s="173">
        <f t="shared" si="35"/>
        <v>154.66666666666666</v>
      </c>
      <c r="P163" s="173">
        <f t="shared" si="39"/>
        <v>6.75</v>
      </c>
      <c r="Q163" s="177">
        <f t="shared" si="38"/>
        <v>4.5633802816901409E-2</v>
      </c>
    </row>
    <row r="164" spans="1:17" x14ac:dyDescent="0.2">
      <c r="B164" t="s">
        <v>338</v>
      </c>
      <c r="C164">
        <v>150</v>
      </c>
      <c r="D164">
        <v>158</v>
      </c>
      <c r="E164">
        <v>160</v>
      </c>
      <c r="F164">
        <v>142</v>
      </c>
      <c r="G164">
        <v>141</v>
      </c>
      <c r="H164">
        <v>138</v>
      </c>
      <c r="I164">
        <v>139</v>
      </c>
      <c r="J164">
        <v>136</v>
      </c>
      <c r="K164">
        <v>134</v>
      </c>
      <c r="L164">
        <v>142</v>
      </c>
      <c r="M164">
        <v>143</v>
      </c>
      <c r="N164">
        <v>135</v>
      </c>
      <c r="O164" s="173">
        <f t="shared" si="35"/>
        <v>143.16666666666666</v>
      </c>
      <c r="P164" s="173">
        <f t="shared" si="39"/>
        <v>-11.5</v>
      </c>
      <c r="Q164" s="177">
        <f t="shared" si="38"/>
        <v>-7.4353448275862072E-2</v>
      </c>
    </row>
    <row r="165" spans="1:17" x14ac:dyDescent="0.2">
      <c r="B165" t="s">
        <v>411</v>
      </c>
      <c r="C165">
        <v>137</v>
      </c>
      <c r="D165">
        <v>145</v>
      </c>
      <c r="E165">
        <v>146</v>
      </c>
      <c r="F165">
        <v>150</v>
      </c>
      <c r="G165">
        <v>146</v>
      </c>
      <c r="H165">
        <v>138</v>
      </c>
      <c r="I165">
        <v>137</v>
      </c>
      <c r="J165">
        <v>135</v>
      </c>
      <c r="K165">
        <v>138</v>
      </c>
      <c r="L165">
        <v>141</v>
      </c>
      <c r="M165">
        <v>147</v>
      </c>
      <c r="N165">
        <v>140</v>
      </c>
      <c r="O165" s="173">
        <f t="shared" si="35"/>
        <v>141.66666666666666</v>
      </c>
      <c r="P165" s="173">
        <f t="shared" si="39"/>
        <v>-1.5</v>
      </c>
      <c r="Q165" s="177">
        <f t="shared" si="38"/>
        <v>-1.0477299185098952E-2</v>
      </c>
    </row>
    <row r="166" spans="1:17" x14ac:dyDescent="0.2">
      <c r="B166" t="s">
        <v>445</v>
      </c>
      <c r="C166">
        <v>140</v>
      </c>
      <c r="D166">
        <v>137</v>
      </c>
      <c r="E166">
        <v>119</v>
      </c>
      <c r="F166">
        <v>113</v>
      </c>
      <c r="G166">
        <v>111</v>
      </c>
      <c r="H166">
        <v>112</v>
      </c>
      <c r="I166">
        <v>117</v>
      </c>
      <c r="J166">
        <v>109</v>
      </c>
      <c r="K166">
        <v>106</v>
      </c>
      <c r="L166">
        <v>117</v>
      </c>
      <c r="M166">
        <v>122</v>
      </c>
      <c r="N166">
        <v>124</v>
      </c>
      <c r="O166" s="173">
        <f t="shared" si="35"/>
        <v>118.91666666666667</v>
      </c>
      <c r="P166" s="173">
        <f t="shared" si="39"/>
        <v>-22.749999999999986</v>
      </c>
      <c r="Q166" s="177">
        <f t="shared" si="38"/>
        <v>-0.16058823529411756</v>
      </c>
    </row>
    <row r="167" spans="1:17" x14ac:dyDescent="0.2">
      <c r="B167" t="s">
        <v>510</v>
      </c>
      <c r="C167">
        <v>138</v>
      </c>
      <c r="D167">
        <v>145</v>
      </c>
      <c r="E167">
        <v>142</v>
      </c>
      <c r="F167">
        <v>146</v>
      </c>
      <c r="G167">
        <v>148</v>
      </c>
      <c r="H167">
        <v>149</v>
      </c>
      <c r="I167">
        <v>150</v>
      </c>
      <c r="J167">
        <v>147</v>
      </c>
      <c r="K167">
        <v>152</v>
      </c>
      <c r="L167">
        <v>159</v>
      </c>
      <c r="M167">
        <v>160</v>
      </c>
      <c r="N167">
        <v>157</v>
      </c>
      <c r="O167" s="173">
        <f t="shared" si="35"/>
        <v>149.41666666666666</v>
      </c>
      <c r="P167" s="173">
        <f t="shared" si="39"/>
        <v>30.499999999999986</v>
      </c>
      <c r="Q167" s="177">
        <f t="shared" si="38"/>
        <v>0.25648213034337758</v>
      </c>
    </row>
    <row r="168" spans="1:17" x14ac:dyDescent="0.2">
      <c r="B168" t="s">
        <v>546</v>
      </c>
      <c r="C168">
        <v>156</v>
      </c>
      <c r="D168">
        <v>161</v>
      </c>
      <c r="E168">
        <v>163</v>
      </c>
      <c r="F168">
        <v>164</v>
      </c>
      <c r="G168">
        <v>162</v>
      </c>
      <c r="H168">
        <v>158</v>
      </c>
      <c r="I168">
        <v>166</v>
      </c>
      <c r="J168">
        <v>166</v>
      </c>
      <c r="K168">
        <v>170</v>
      </c>
      <c r="L168">
        <v>164</v>
      </c>
      <c r="M168">
        <v>162</v>
      </c>
      <c r="N168">
        <v>160</v>
      </c>
      <c r="O168" s="173">
        <f t="shared" si="35"/>
        <v>162.66666666666666</v>
      </c>
      <c r="P168" s="173">
        <f>SUM(O168-O167)</f>
        <v>13.25</v>
      </c>
      <c r="Q168" s="177">
        <f>SUM(P168/O167)</f>
        <v>8.8678192972671502E-2</v>
      </c>
    </row>
    <row r="169" spans="1:17" x14ac:dyDescent="0.2">
      <c r="B169" t="s">
        <v>547</v>
      </c>
      <c r="C169">
        <v>156</v>
      </c>
      <c r="D169">
        <v>155</v>
      </c>
      <c r="E169">
        <v>149</v>
      </c>
      <c r="F169">
        <v>146</v>
      </c>
      <c r="G169">
        <v>149</v>
      </c>
      <c r="H169">
        <v>151</v>
      </c>
      <c r="I169">
        <v>151</v>
      </c>
      <c r="J169">
        <v>148</v>
      </c>
      <c r="K169">
        <v>155</v>
      </c>
      <c r="L169">
        <v>156</v>
      </c>
      <c r="M169">
        <v>153</v>
      </c>
      <c r="N169">
        <v>154</v>
      </c>
      <c r="O169" s="173">
        <f t="shared" si="35"/>
        <v>151.91666666666666</v>
      </c>
      <c r="P169" s="173">
        <f>SUM(O169-O168)</f>
        <v>-10.75</v>
      </c>
      <c r="Q169" s="177">
        <f>SUM(P169/O168)</f>
        <v>-6.6086065573770489E-2</v>
      </c>
    </row>
    <row r="170" spans="1:17" x14ac:dyDescent="0.2">
      <c r="B170" t="s">
        <v>817</v>
      </c>
      <c r="C170">
        <v>156</v>
      </c>
      <c r="D170">
        <v>159</v>
      </c>
      <c r="E170">
        <v>157</v>
      </c>
      <c r="F170">
        <v>158</v>
      </c>
      <c r="G170">
        <v>143</v>
      </c>
      <c r="H170">
        <v>148</v>
      </c>
      <c r="I170">
        <v>155</v>
      </c>
      <c r="J170">
        <v>149</v>
      </c>
      <c r="K170">
        <v>151</v>
      </c>
      <c r="L170">
        <v>145</v>
      </c>
      <c r="M170">
        <v>133</v>
      </c>
      <c r="N170">
        <v>128</v>
      </c>
      <c r="O170" s="173">
        <f t="shared" si="35"/>
        <v>148.5</v>
      </c>
      <c r="P170" s="173">
        <f>SUM(O170-O169)</f>
        <v>-3.4166666666666572</v>
      </c>
      <c r="Q170" s="177">
        <f>SUM(P170/O169)</f>
        <v>-2.2490400438837019E-2</v>
      </c>
    </row>
    <row r="171" spans="1:17" x14ac:dyDescent="0.2">
      <c r="B171" t="s">
        <v>818</v>
      </c>
      <c r="C171">
        <v>119</v>
      </c>
      <c r="D171">
        <v>118</v>
      </c>
      <c r="E171">
        <v>115</v>
      </c>
      <c r="F171">
        <v>111</v>
      </c>
      <c r="G171">
        <v>108</v>
      </c>
      <c r="H171">
        <v>105</v>
      </c>
      <c r="I171">
        <v>93</v>
      </c>
      <c r="J171">
        <v>94</v>
      </c>
      <c r="K171">
        <v>90</v>
      </c>
      <c r="L171">
        <v>85</v>
      </c>
      <c r="M171">
        <v>80</v>
      </c>
      <c r="N171">
        <v>82</v>
      </c>
      <c r="O171" s="173">
        <f t="shared" si="35"/>
        <v>100</v>
      </c>
      <c r="P171" s="173">
        <f>SUM(O171-O170)</f>
        <v>-48.5</v>
      </c>
      <c r="Q171" s="177">
        <f>SUM(P171/O170)</f>
        <v>-0.32659932659932661</v>
      </c>
    </row>
    <row r="172" spans="1:17" x14ac:dyDescent="0.2">
      <c r="B172" t="s">
        <v>899</v>
      </c>
      <c r="C172">
        <v>83</v>
      </c>
      <c r="D172">
        <v>84</v>
      </c>
      <c r="E172">
        <v>81</v>
      </c>
      <c r="F172">
        <v>79</v>
      </c>
      <c r="O172" s="173"/>
      <c r="P172" s="173"/>
      <c r="Q172" s="177"/>
    </row>
    <row r="173" spans="1:17" x14ac:dyDescent="0.2">
      <c r="A173" s="520"/>
      <c r="B173" s="520"/>
      <c r="C173" s="520"/>
      <c r="D173" s="520"/>
      <c r="E173" s="520"/>
      <c r="F173" s="520"/>
      <c r="G173" s="520"/>
      <c r="H173" s="520"/>
      <c r="I173" s="520"/>
      <c r="J173" s="520"/>
      <c r="K173" s="520"/>
      <c r="L173" s="520"/>
      <c r="M173" s="520"/>
      <c r="N173" s="520"/>
      <c r="O173" s="520"/>
      <c r="P173" s="520"/>
      <c r="Q173" s="520"/>
    </row>
    <row r="174" spans="1:17" ht="25.5" x14ac:dyDescent="0.2">
      <c r="A174" s="175" t="s">
        <v>420</v>
      </c>
      <c r="B174" s="176" t="s">
        <v>392</v>
      </c>
      <c r="C174" s="178" t="s">
        <v>393</v>
      </c>
      <c r="D174" s="178" t="s">
        <v>394</v>
      </c>
      <c r="E174" s="178" t="s">
        <v>395</v>
      </c>
      <c r="F174" s="178" t="s">
        <v>396</v>
      </c>
      <c r="G174" s="178" t="s">
        <v>397</v>
      </c>
      <c r="H174" s="178" t="s">
        <v>398</v>
      </c>
      <c r="I174" s="178" t="s">
        <v>399</v>
      </c>
      <c r="J174" s="178" t="s">
        <v>400</v>
      </c>
      <c r="K174" s="178" t="s">
        <v>401</v>
      </c>
      <c r="L174" s="178" t="s">
        <v>402</v>
      </c>
      <c r="M174" s="178" t="s">
        <v>403</v>
      </c>
      <c r="N174" s="178" t="s">
        <v>404</v>
      </c>
    </row>
    <row r="175" spans="1:17" x14ac:dyDescent="0.2">
      <c r="B175" t="s">
        <v>408</v>
      </c>
      <c r="C175">
        <v>88</v>
      </c>
      <c r="D175">
        <v>88</v>
      </c>
      <c r="E175">
        <v>91</v>
      </c>
      <c r="F175">
        <v>89</v>
      </c>
      <c r="G175">
        <v>92</v>
      </c>
      <c r="H175">
        <v>87</v>
      </c>
      <c r="I175">
        <v>92</v>
      </c>
      <c r="J175">
        <v>98</v>
      </c>
      <c r="K175">
        <v>100</v>
      </c>
      <c r="L175">
        <v>101</v>
      </c>
      <c r="M175">
        <v>101</v>
      </c>
      <c r="N175">
        <v>103</v>
      </c>
      <c r="O175" s="173">
        <f t="shared" ref="O175:O183" si="40">SUM(C175:N175)/12</f>
        <v>94.166666666666671</v>
      </c>
      <c r="P175" s="173"/>
    </row>
    <row r="176" spans="1:17" x14ac:dyDescent="0.2">
      <c r="B176" t="s">
        <v>409</v>
      </c>
      <c r="C176">
        <v>99</v>
      </c>
      <c r="D176">
        <v>99</v>
      </c>
      <c r="E176">
        <v>93</v>
      </c>
      <c r="F176">
        <v>96</v>
      </c>
      <c r="G176">
        <v>87</v>
      </c>
      <c r="H176">
        <v>98</v>
      </c>
      <c r="I176">
        <v>92</v>
      </c>
      <c r="J176">
        <v>97</v>
      </c>
      <c r="K176">
        <v>96</v>
      </c>
      <c r="L176">
        <v>96</v>
      </c>
      <c r="M176">
        <v>99</v>
      </c>
      <c r="N176">
        <v>104</v>
      </c>
      <c r="O176" s="173">
        <f t="shared" si="40"/>
        <v>96.333333333333329</v>
      </c>
      <c r="P176" s="173">
        <f t="shared" ref="P176:P183" si="41">SUM(O176-O175)</f>
        <v>2.1666666666666572</v>
      </c>
      <c r="Q176" s="177">
        <f t="shared" ref="Q176:Q182" si="42">SUM(P176/O175)</f>
        <v>2.3008849557522023E-2</v>
      </c>
    </row>
    <row r="177" spans="2:17" x14ac:dyDescent="0.2">
      <c r="B177" t="s">
        <v>410</v>
      </c>
      <c r="C177">
        <v>103</v>
      </c>
      <c r="D177">
        <v>108</v>
      </c>
      <c r="E177">
        <v>99</v>
      </c>
      <c r="F177">
        <v>108</v>
      </c>
      <c r="G177">
        <v>104</v>
      </c>
      <c r="H177">
        <v>89</v>
      </c>
      <c r="I177">
        <v>81</v>
      </c>
      <c r="J177">
        <v>73</v>
      </c>
      <c r="K177">
        <v>71</v>
      </c>
      <c r="L177">
        <v>75</v>
      </c>
      <c r="M177">
        <v>110</v>
      </c>
      <c r="N177">
        <v>120</v>
      </c>
      <c r="O177" s="173">
        <f t="shared" si="40"/>
        <v>95.083333333333329</v>
      </c>
      <c r="P177" s="173">
        <f t="shared" si="41"/>
        <v>-1.25</v>
      </c>
      <c r="Q177" s="177">
        <f t="shared" si="42"/>
        <v>-1.2975778546712804E-2</v>
      </c>
    </row>
    <row r="178" spans="2:17" x14ac:dyDescent="0.2">
      <c r="B178" t="s">
        <v>244</v>
      </c>
      <c r="C178">
        <v>75</v>
      </c>
      <c r="D178">
        <v>134</v>
      </c>
      <c r="E178">
        <v>85</v>
      </c>
      <c r="F178">
        <v>85</v>
      </c>
      <c r="G178">
        <v>86</v>
      </c>
      <c r="H178">
        <v>89</v>
      </c>
      <c r="I178">
        <v>85</v>
      </c>
      <c r="J178">
        <v>85</v>
      </c>
      <c r="K178">
        <v>85</v>
      </c>
      <c r="L178">
        <v>85</v>
      </c>
      <c r="M178">
        <v>85</v>
      </c>
      <c r="N178">
        <v>85</v>
      </c>
      <c r="O178" s="173">
        <f t="shared" si="40"/>
        <v>88.666666666666671</v>
      </c>
      <c r="P178" s="173">
        <f t="shared" si="41"/>
        <v>-6.4166666666666572</v>
      </c>
      <c r="Q178" s="177">
        <f t="shared" si="42"/>
        <v>-6.7484662576687018E-2</v>
      </c>
    </row>
    <row r="179" spans="2:17" x14ac:dyDescent="0.2">
      <c r="B179" t="s">
        <v>243</v>
      </c>
      <c r="C179">
        <v>107</v>
      </c>
      <c r="D179">
        <v>90</v>
      </c>
      <c r="E179">
        <v>90</v>
      </c>
      <c r="F179">
        <v>91</v>
      </c>
      <c r="G179">
        <v>89</v>
      </c>
      <c r="H179">
        <v>89</v>
      </c>
      <c r="I179">
        <v>87</v>
      </c>
      <c r="J179">
        <v>83</v>
      </c>
      <c r="K179">
        <v>79</v>
      </c>
      <c r="L179">
        <v>83</v>
      </c>
      <c r="M179">
        <v>84</v>
      </c>
      <c r="N179">
        <v>86</v>
      </c>
      <c r="O179" s="173">
        <f t="shared" si="40"/>
        <v>88.166666666666671</v>
      </c>
      <c r="P179" s="173">
        <f t="shared" si="41"/>
        <v>-0.5</v>
      </c>
      <c r="Q179" s="177">
        <f t="shared" si="42"/>
        <v>-5.6390977443609019E-3</v>
      </c>
    </row>
    <row r="180" spans="2:17" x14ac:dyDescent="0.2">
      <c r="B180" t="s">
        <v>264</v>
      </c>
      <c r="C180">
        <v>94</v>
      </c>
      <c r="D180">
        <v>94</v>
      </c>
      <c r="E180">
        <v>95</v>
      </c>
      <c r="F180">
        <v>92</v>
      </c>
      <c r="G180">
        <v>92</v>
      </c>
      <c r="H180">
        <v>91</v>
      </c>
      <c r="I180">
        <v>93</v>
      </c>
      <c r="J180">
        <v>90</v>
      </c>
      <c r="K180">
        <v>87</v>
      </c>
      <c r="L180">
        <v>86</v>
      </c>
      <c r="M180">
        <v>86</v>
      </c>
      <c r="N180">
        <v>85</v>
      </c>
      <c r="O180" s="173">
        <f t="shared" si="40"/>
        <v>90.416666666666671</v>
      </c>
      <c r="P180" s="173">
        <f t="shared" si="41"/>
        <v>2.25</v>
      </c>
      <c r="Q180" s="177">
        <f t="shared" si="42"/>
        <v>2.5519848771266538E-2</v>
      </c>
    </row>
    <row r="181" spans="2:17" x14ac:dyDescent="0.2">
      <c r="B181" t="s">
        <v>274</v>
      </c>
      <c r="C181">
        <v>88</v>
      </c>
      <c r="D181">
        <v>90</v>
      </c>
      <c r="E181">
        <v>90</v>
      </c>
      <c r="F181">
        <v>93</v>
      </c>
      <c r="G181">
        <v>90</v>
      </c>
      <c r="H181">
        <v>89</v>
      </c>
      <c r="I181">
        <v>112</v>
      </c>
      <c r="J181">
        <v>108</v>
      </c>
      <c r="K181">
        <v>112</v>
      </c>
      <c r="L181">
        <v>113</v>
      </c>
      <c r="M181">
        <v>109</v>
      </c>
      <c r="N181">
        <v>108</v>
      </c>
      <c r="O181" s="173">
        <f t="shared" si="40"/>
        <v>100.16666666666667</v>
      </c>
      <c r="P181" s="173">
        <f t="shared" si="41"/>
        <v>9.75</v>
      </c>
      <c r="Q181" s="177">
        <f t="shared" si="42"/>
        <v>0.10783410138248847</v>
      </c>
    </row>
    <row r="182" spans="2:17" x14ac:dyDescent="0.2">
      <c r="B182" t="s">
        <v>277</v>
      </c>
      <c r="C182">
        <v>107</v>
      </c>
      <c r="D182">
        <v>106</v>
      </c>
      <c r="E182">
        <v>105</v>
      </c>
      <c r="F182">
        <v>96</v>
      </c>
      <c r="G182">
        <v>99</v>
      </c>
      <c r="H182">
        <v>101</v>
      </c>
      <c r="I182">
        <v>103</v>
      </c>
      <c r="J182">
        <v>103</v>
      </c>
      <c r="K182">
        <v>100</v>
      </c>
      <c r="L182">
        <v>113</v>
      </c>
      <c r="M182">
        <v>118</v>
      </c>
      <c r="N182">
        <v>104</v>
      </c>
      <c r="O182" s="173">
        <f t="shared" si="40"/>
        <v>104.58333333333333</v>
      </c>
      <c r="P182" s="173">
        <f t="shared" si="41"/>
        <v>4.4166666666666572</v>
      </c>
      <c r="Q182" s="177">
        <f t="shared" si="42"/>
        <v>4.4093178036605563E-2</v>
      </c>
    </row>
    <row r="183" spans="2:17" x14ac:dyDescent="0.2">
      <c r="B183" t="s">
        <v>278</v>
      </c>
      <c r="C183">
        <v>106</v>
      </c>
      <c r="D183">
        <v>102</v>
      </c>
      <c r="E183">
        <v>105</v>
      </c>
      <c r="F183">
        <v>103</v>
      </c>
      <c r="G183">
        <v>103</v>
      </c>
      <c r="H183">
        <v>103</v>
      </c>
      <c r="I183">
        <v>99</v>
      </c>
      <c r="J183">
        <v>98</v>
      </c>
      <c r="K183">
        <v>100</v>
      </c>
      <c r="L183">
        <v>101</v>
      </c>
      <c r="M183">
        <v>100</v>
      </c>
      <c r="N183">
        <v>103</v>
      </c>
      <c r="O183" s="173">
        <f t="shared" si="40"/>
        <v>101.91666666666667</v>
      </c>
      <c r="P183" s="173">
        <f t="shared" si="41"/>
        <v>-2.6666666666666572</v>
      </c>
      <c r="Q183" s="177">
        <f t="shared" ref="Q183:Q189" si="43">SUM(P183/O182)</f>
        <v>-2.5498007968127401E-2</v>
      </c>
    </row>
    <row r="184" spans="2:17" x14ac:dyDescent="0.2">
      <c r="B184" t="s">
        <v>279</v>
      </c>
      <c r="C184">
        <v>96</v>
      </c>
      <c r="D184">
        <v>95</v>
      </c>
      <c r="E184">
        <v>92</v>
      </c>
      <c r="F184">
        <v>93</v>
      </c>
      <c r="G184">
        <v>90</v>
      </c>
      <c r="H184">
        <v>90</v>
      </c>
      <c r="I184">
        <v>90</v>
      </c>
      <c r="J184">
        <v>90</v>
      </c>
      <c r="K184">
        <v>91</v>
      </c>
      <c r="L184">
        <v>90</v>
      </c>
      <c r="M184">
        <v>75</v>
      </c>
      <c r="N184">
        <v>74</v>
      </c>
      <c r="O184" s="173">
        <f>SUM(C184:N184)/12</f>
        <v>88.833333333333329</v>
      </c>
      <c r="P184" s="173">
        <f t="shared" ref="P184:P189" si="44">SUM(O184-O183)</f>
        <v>-13.083333333333343</v>
      </c>
      <c r="Q184" s="177">
        <f t="shared" si="43"/>
        <v>-0.12837285363859371</v>
      </c>
    </row>
    <row r="185" spans="2:17" x14ac:dyDescent="0.2">
      <c r="B185" t="s">
        <v>317</v>
      </c>
      <c r="C185">
        <v>73</v>
      </c>
      <c r="D185">
        <v>73</v>
      </c>
      <c r="E185">
        <v>68</v>
      </c>
      <c r="F185">
        <v>69</v>
      </c>
      <c r="G185">
        <v>70</v>
      </c>
      <c r="H185">
        <v>77</v>
      </c>
      <c r="I185">
        <v>71</v>
      </c>
      <c r="J185">
        <v>74</v>
      </c>
      <c r="K185">
        <v>74</v>
      </c>
      <c r="L185">
        <v>72</v>
      </c>
      <c r="N185">
        <v>93</v>
      </c>
      <c r="O185" s="173">
        <f>SUM(C185:N185)/11</f>
        <v>74</v>
      </c>
      <c r="P185" s="173">
        <f t="shared" si="44"/>
        <v>-14.833333333333329</v>
      </c>
      <c r="Q185" s="177">
        <f t="shared" si="43"/>
        <v>-0.16697936210131328</v>
      </c>
    </row>
    <row r="186" spans="2:17" x14ac:dyDescent="0.2">
      <c r="B186" t="s">
        <v>338</v>
      </c>
      <c r="C186">
        <v>95</v>
      </c>
      <c r="D186">
        <v>93</v>
      </c>
      <c r="E186">
        <v>89</v>
      </c>
      <c r="F186">
        <v>84</v>
      </c>
      <c r="G186">
        <v>84</v>
      </c>
      <c r="H186">
        <v>86</v>
      </c>
      <c r="I186">
        <v>87</v>
      </c>
      <c r="J186">
        <v>84</v>
      </c>
      <c r="K186">
        <v>86</v>
      </c>
      <c r="L186">
        <v>89</v>
      </c>
      <c r="M186">
        <v>91</v>
      </c>
      <c r="N186">
        <v>96</v>
      </c>
      <c r="O186" s="173">
        <f t="shared" ref="O186:O193" si="45">SUM(C186:N186)/12</f>
        <v>88.666666666666671</v>
      </c>
      <c r="P186" s="173">
        <f t="shared" si="44"/>
        <v>14.666666666666671</v>
      </c>
      <c r="Q186" s="177">
        <f t="shared" si="43"/>
        <v>0.19819819819819826</v>
      </c>
    </row>
    <row r="187" spans="2:17" x14ac:dyDescent="0.2">
      <c r="B187" t="s">
        <v>411</v>
      </c>
      <c r="C187">
        <v>100</v>
      </c>
      <c r="D187">
        <v>99</v>
      </c>
      <c r="E187">
        <v>98</v>
      </c>
      <c r="F187">
        <v>99</v>
      </c>
      <c r="G187">
        <v>98</v>
      </c>
      <c r="H187">
        <v>99</v>
      </c>
      <c r="I187">
        <v>101</v>
      </c>
      <c r="J187">
        <v>102</v>
      </c>
      <c r="K187">
        <v>101</v>
      </c>
      <c r="L187">
        <v>102</v>
      </c>
      <c r="M187">
        <v>103</v>
      </c>
      <c r="N187">
        <v>107</v>
      </c>
      <c r="O187" s="173">
        <f t="shared" si="45"/>
        <v>100.75</v>
      </c>
      <c r="P187" s="173">
        <f t="shared" si="44"/>
        <v>12.083333333333329</v>
      </c>
      <c r="Q187" s="177">
        <f t="shared" si="43"/>
        <v>0.13627819548872175</v>
      </c>
    </row>
    <row r="188" spans="2:17" x14ac:dyDescent="0.2">
      <c r="B188" t="s">
        <v>445</v>
      </c>
      <c r="C188">
        <v>108</v>
      </c>
      <c r="D188">
        <v>108</v>
      </c>
      <c r="E188">
        <v>109</v>
      </c>
      <c r="F188">
        <v>106</v>
      </c>
      <c r="G188">
        <v>102</v>
      </c>
      <c r="H188">
        <v>100</v>
      </c>
      <c r="I188">
        <v>97</v>
      </c>
      <c r="J188">
        <v>94</v>
      </c>
      <c r="K188">
        <v>98</v>
      </c>
      <c r="L188">
        <v>100</v>
      </c>
      <c r="M188">
        <v>105</v>
      </c>
      <c r="N188">
        <v>101</v>
      </c>
      <c r="O188" s="173">
        <f t="shared" si="45"/>
        <v>102.33333333333333</v>
      </c>
      <c r="P188" s="173">
        <f t="shared" si="44"/>
        <v>1.5833333333333286</v>
      </c>
      <c r="Q188" s="177">
        <f t="shared" si="43"/>
        <v>1.5715467328370508E-2</v>
      </c>
    </row>
    <row r="189" spans="2:17" x14ac:dyDescent="0.2">
      <c r="B189" t="s">
        <v>510</v>
      </c>
      <c r="C189">
        <v>100</v>
      </c>
      <c r="D189">
        <v>100</v>
      </c>
      <c r="E189">
        <v>101</v>
      </c>
      <c r="F189">
        <v>94</v>
      </c>
      <c r="G189">
        <v>95</v>
      </c>
      <c r="H189">
        <v>102</v>
      </c>
      <c r="I189">
        <v>97</v>
      </c>
      <c r="J189">
        <v>96</v>
      </c>
      <c r="K189">
        <v>95</v>
      </c>
      <c r="L189">
        <v>97</v>
      </c>
      <c r="M189">
        <v>98</v>
      </c>
      <c r="N189">
        <v>97</v>
      </c>
      <c r="O189" s="173">
        <f t="shared" si="45"/>
        <v>97.666666666666671</v>
      </c>
      <c r="P189" s="173">
        <f t="shared" si="44"/>
        <v>-4.6666666666666572</v>
      </c>
      <c r="Q189" s="177">
        <f t="shared" si="43"/>
        <v>-4.5602605863192092E-2</v>
      </c>
    </row>
    <row r="190" spans="2:17" x14ac:dyDescent="0.2">
      <c r="B190" t="s">
        <v>546</v>
      </c>
      <c r="C190">
        <v>92</v>
      </c>
      <c r="D190">
        <v>97</v>
      </c>
      <c r="E190">
        <v>96</v>
      </c>
      <c r="F190">
        <v>95</v>
      </c>
      <c r="G190">
        <v>94</v>
      </c>
      <c r="H190">
        <v>93</v>
      </c>
      <c r="I190">
        <v>92</v>
      </c>
      <c r="J190">
        <v>94</v>
      </c>
      <c r="K190">
        <v>96</v>
      </c>
      <c r="L190">
        <v>90</v>
      </c>
      <c r="M190">
        <v>89</v>
      </c>
      <c r="N190">
        <v>85</v>
      </c>
      <c r="O190" s="173">
        <f t="shared" si="45"/>
        <v>92.75</v>
      </c>
      <c r="P190" s="173">
        <f>SUM(O190-O189)</f>
        <v>-4.9166666666666714</v>
      </c>
      <c r="Q190" s="177">
        <f>SUM(P190/O189)</f>
        <v>-5.0341296928327693E-2</v>
      </c>
    </row>
    <row r="191" spans="2:17" x14ac:dyDescent="0.2">
      <c r="B191" t="s">
        <v>547</v>
      </c>
      <c r="C191">
        <v>84</v>
      </c>
      <c r="D191">
        <v>85</v>
      </c>
      <c r="E191">
        <v>82</v>
      </c>
      <c r="F191">
        <v>86</v>
      </c>
      <c r="G191">
        <v>87</v>
      </c>
      <c r="H191">
        <v>88</v>
      </c>
      <c r="I191">
        <v>89</v>
      </c>
      <c r="J191">
        <v>89</v>
      </c>
      <c r="K191">
        <v>90</v>
      </c>
      <c r="L191">
        <v>88</v>
      </c>
      <c r="M191">
        <v>90</v>
      </c>
      <c r="N191">
        <v>90</v>
      </c>
      <c r="O191" s="173">
        <f t="shared" si="45"/>
        <v>87.333333333333329</v>
      </c>
      <c r="P191" s="173">
        <f>SUM(O191-O190)</f>
        <v>-5.4166666666666714</v>
      </c>
      <c r="Q191" s="177">
        <f>SUM(P191/O190)</f>
        <v>-5.8400718778077322E-2</v>
      </c>
    </row>
    <row r="192" spans="2:17" x14ac:dyDescent="0.2">
      <c r="B192" t="s">
        <v>817</v>
      </c>
      <c r="C192">
        <v>92</v>
      </c>
      <c r="D192">
        <v>85</v>
      </c>
      <c r="E192">
        <v>90</v>
      </c>
      <c r="F192">
        <v>89</v>
      </c>
      <c r="G192">
        <v>88</v>
      </c>
      <c r="H192">
        <v>86</v>
      </c>
      <c r="I192">
        <v>83</v>
      </c>
      <c r="J192">
        <v>86</v>
      </c>
      <c r="K192">
        <v>82</v>
      </c>
      <c r="L192">
        <v>83</v>
      </c>
      <c r="M192">
        <v>87</v>
      </c>
      <c r="N192">
        <v>77</v>
      </c>
      <c r="O192" s="173">
        <f t="shared" si="45"/>
        <v>85.666666666666671</v>
      </c>
      <c r="P192" s="173">
        <f>SUM(O192-O191)</f>
        <v>-1.6666666666666572</v>
      </c>
      <c r="Q192" s="177">
        <f>SUM(P192/O191)</f>
        <v>-1.9083969465648748E-2</v>
      </c>
    </row>
    <row r="193" spans="1:17" x14ac:dyDescent="0.2">
      <c r="B193" t="s">
        <v>818</v>
      </c>
      <c r="C193">
        <v>75</v>
      </c>
      <c r="D193">
        <v>68</v>
      </c>
      <c r="E193">
        <v>69</v>
      </c>
      <c r="F193">
        <v>67</v>
      </c>
      <c r="G193">
        <v>62</v>
      </c>
      <c r="H193">
        <v>60</v>
      </c>
      <c r="I193">
        <v>59</v>
      </c>
      <c r="J193">
        <v>51</v>
      </c>
      <c r="K193">
        <v>54</v>
      </c>
      <c r="L193">
        <v>56</v>
      </c>
      <c r="M193">
        <v>88</v>
      </c>
      <c r="N193">
        <v>80</v>
      </c>
      <c r="O193" s="173">
        <f t="shared" si="45"/>
        <v>65.75</v>
      </c>
      <c r="P193" s="173">
        <f>SUM(O193-O192)</f>
        <v>-19.916666666666671</v>
      </c>
      <c r="Q193" s="177">
        <f>SUM(P193/O192)</f>
        <v>-0.23249027237354089</v>
      </c>
    </row>
    <row r="194" spans="1:17" x14ac:dyDescent="0.2">
      <c r="B194" t="s">
        <v>899</v>
      </c>
      <c r="C194">
        <v>81</v>
      </c>
      <c r="D194">
        <v>79</v>
      </c>
      <c r="E194">
        <v>74</v>
      </c>
      <c r="F194">
        <v>68</v>
      </c>
      <c r="O194" s="173"/>
      <c r="P194" s="173"/>
      <c r="Q194" s="177"/>
    </row>
    <row r="195" spans="1:17" ht="25.5" x14ac:dyDescent="0.2">
      <c r="A195" s="175" t="s">
        <v>421</v>
      </c>
      <c r="B195" s="176" t="s">
        <v>392</v>
      </c>
      <c r="C195" s="178" t="s">
        <v>393</v>
      </c>
      <c r="D195" s="178" t="s">
        <v>394</v>
      </c>
      <c r="E195" s="178" t="s">
        <v>395</v>
      </c>
      <c r="F195" s="178" t="s">
        <v>396</v>
      </c>
      <c r="G195" s="178" t="s">
        <v>397</v>
      </c>
      <c r="H195" s="178" t="s">
        <v>398</v>
      </c>
      <c r="I195" s="178" t="s">
        <v>399</v>
      </c>
      <c r="J195" s="178" t="s">
        <v>400</v>
      </c>
      <c r="K195" s="178" t="s">
        <v>401</v>
      </c>
      <c r="L195" s="178" t="s">
        <v>402</v>
      </c>
      <c r="M195" s="178" t="s">
        <v>403</v>
      </c>
      <c r="N195" s="178" t="s">
        <v>404</v>
      </c>
    </row>
    <row r="196" spans="1:17" x14ac:dyDescent="0.2">
      <c r="B196" t="s">
        <v>408</v>
      </c>
      <c r="C196">
        <v>69</v>
      </c>
      <c r="D196">
        <v>69</v>
      </c>
      <c r="E196">
        <v>69</v>
      </c>
      <c r="F196">
        <v>69</v>
      </c>
      <c r="G196">
        <v>56</v>
      </c>
      <c r="H196">
        <v>58</v>
      </c>
      <c r="I196">
        <v>57</v>
      </c>
      <c r="J196">
        <v>58</v>
      </c>
      <c r="K196">
        <v>56</v>
      </c>
      <c r="L196">
        <v>62</v>
      </c>
      <c r="M196">
        <v>57</v>
      </c>
      <c r="N196">
        <v>58</v>
      </c>
      <c r="O196" s="173">
        <f t="shared" ref="O196:O214" si="46">SUM(C196:N196)/12</f>
        <v>61.5</v>
      </c>
      <c r="P196" s="173"/>
    </row>
    <row r="197" spans="1:17" x14ac:dyDescent="0.2">
      <c r="B197" t="s">
        <v>409</v>
      </c>
      <c r="C197">
        <v>52</v>
      </c>
      <c r="D197">
        <v>56</v>
      </c>
      <c r="E197">
        <v>51</v>
      </c>
      <c r="F197">
        <v>57</v>
      </c>
      <c r="G197">
        <v>60</v>
      </c>
      <c r="H197">
        <v>58</v>
      </c>
      <c r="I197">
        <v>62</v>
      </c>
      <c r="J197">
        <v>63</v>
      </c>
      <c r="K197">
        <v>59</v>
      </c>
      <c r="L197">
        <v>59</v>
      </c>
      <c r="M197">
        <v>62</v>
      </c>
      <c r="N197">
        <v>60</v>
      </c>
      <c r="O197" s="173">
        <f t="shared" si="46"/>
        <v>58.25</v>
      </c>
      <c r="P197" s="173">
        <f t="shared" ref="P197:P204" si="47">SUM(O197-O196)</f>
        <v>-3.25</v>
      </c>
      <c r="Q197" s="177">
        <f t="shared" ref="Q197:Q203" si="48">SUM(P197/O196)</f>
        <v>-5.2845528455284556E-2</v>
      </c>
    </row>
    <row r="198" spans="1:17" x14ac:dyDescent="0.2">
      <c r="B198" t="s">
        <v>410</v>
      </c>
      <c r="C198">
        <v>60</v>
      </c>
      <c r="D198">
        <v>55</v>
      </c>
      <c r="E198">
        <v>57</v>
      </c>
      <c r="F198">
        <v>55</v>
      </c>
      <c r="G198">
        <v>55</v>
      </c>
      <c r="H198">
        <v>52</v>
      </c>
      <c r="I198">
        <v>60</v>
      </c>
      <c r="J198">
        <v>72</v>
      </c>
      <c r="K198">
        <v>77</v>
      </c>
      <c r="L198">
        <v>82</v>
      </c>
      <c r="M198">
        <v>87</v>
      </c>
      <c r="N198">
        <v>92</v>
      </c>
      <c r="O198" s="173">
        <f t="shared" si="46"/>
        <v>67</v>
      </c>
      <c r="P198" s="173">
        <f t="shared" si="47"/>
        <v>8.75</v>
      </c>
      <c r="Q198" s="177">
        <f t="shared" si="48"/>
        <v>0.15021459227467812</v>
      </c>
    </row>
    <row r="199" spans="1:17" x14ac:dyDescent="0.2">
      <c r="B199" t="s">
        <v>244</v>
      </c>
      <c r="C199">
        <v>87</v>
      </c>
      <c r="D199">
        <v>86</v>
      </c>
      <c r="E199">
        <v>88</v>
      </c>
      <c r="F199">
        <v>86</v>
      </c>
      <c r="G199">
        <v>86</v>
      </c>
      <c r="H199">
        <v>86</v>
      </c>
      <c r="I199">
        <v>86</v>
      </c>
      <c r="J199">
        <v>86</v>
      </c>
      <c r="K199">
        <v>86</v>
      </c>
      <c r="L199">
        <v>86</v>
      </c>
      <c r="M199">
        <v>86</v>
      </c>
      <c r="N199">
        <v>86</v>
      </c>
      <c r="O199" s="173">
        <f t="shared" si="46"/>
        <v>86.25</v>
      </c>
      <c r="P199" s="173">
        <f t="shared" si="47"/>
        <v>19.25</v>
      </c>
      <c r="Q199" s="177">
        <f t="shared" si="48"/>
        <v>0.28731343283582089</v>
      </c>
    </row>
    <row r="200" spans="1:17" x14ac:dyDescent="0.2">
      <c r="B200" t="s">
        <v>243</v>
      </c>
      <c r="C200">
        <v>93</v>
      </c>
      <c r="D200">
        <v>80</v>
      </c>
      <c r="E200">
        <v>78</v>
      </c>
      <c r="F200">
        <v>78</v>
      </c>
      <c r="G200">
        <v>84</v>
      </c>
      <c r="H200">
        <v>90</v>
      </c>
      <c r="I200">
        <v>88</v>
      </c>
      <c r="J200">
        <v>92</v>
      </c>
      <c r="K200">
        <v>94</v>
      </c>
      <c r="L200">
        <v>84</v>
      </c>
      <c r="M200">
        <v>84</v>
      </c>
      <c r="N200">
        <v>85</v>
      </c>
      <c r="O200" s="173">
        <f t="shared" si="46"/>
        <v>85.833333333333329</v>
      </c>
      <c r="P200" s="173">
        <f t="shared" si="47"/>
        <v>-0.4166666666666714</v>
      </c>
      <c r="Q200" s="177">
        <f t="shared" si="48"/>
        <v>-4.8309178743961905E-3</v>
      </c>
    </row>
    <row r="201" spans="1:17" x14ac:dyDescent="0.2">
      <c r="B201" t="s">
        <v>264</v>
      </c>
      <c r="C201">
        <v>80</v>
      </c>
      <c r="D201">
        <v>84</v>
      </c>
      <c r="E201">
        <v>85</v>
      </c>
      <c r="F201">
        <v>88</v>
      </c>
      <c r="G201">
        <v>90</v>
      </c>
      <c r="H201">
        <v>95</v>
      </c>
      <c r="I201">
        <v>101</v>
      </c>
      <c r="J201">
        <v>94</v>
      </c>
      <c r="K201">
        <v>90</v>
      </c>
      <c r="L201">
        <v>93</v>
      </c>
      <c r="M201">
        <v>101</v>
      </c>
      <c r="N201">
        <v>107</v>
      </c>
      <c r="O201" s="173">
        <f t="shared" si="46"/>
        <v>92.333333333333329</v>
      </c>
      <c r="P201" s="173">
        <f t="shared" si="47"/>
        <v>6.5</v>
      </c>
      <c r="Q201" s="177">
        <f t="shared" si="48"/>
        <v>7.5728155339805828E-2</v>
      </c>
    </row>
    <row r="202" spans="1:17" x14ac:dyDescent="0.2">
      <c r="B202" t="s">
        <v>274</v>
      </c>
      <c r="C202">
        <v>112</v>
      </c>
      <c r="D202">
        <v>110</v>
      </c>
      <c r="E202">
        <v>108</v>
      </c>
      <c r="F202">
        <v>113</v>
      </c>
      <c r="G202">
        <v>112</v>
      </c>
      <c r="H202">
        <v>108</v>
      </c>
      <c r="I202">
        <v>107</v>
      </c>
      <c r="J202">
        <v>123</v>
      </c>
      <c r="K202">
        <v>114</v>
      </c>
      <c r="L202">
        <v>116</v>
      </c>
      <c r="M202">
        <v>117</v>
      </c>
      <c r="N202">
        <v>121</v>
      </c>
      <c r="O202" s="173">
        <f t="shared" si="46"/>
        <v>113.41666666666667</v>
      </c>
      <c r="P202" s="173">
        <f t="shared" si="47"/>
        <v>21.083333333333343</v>
      </c>
      <c r="Q202" s="177">
        <f t="shared" si="48"/>
        <v>0.22833935018050552</v>
      </c>
    </row>
    <row r="203" spans="1:17" x14ac:dyDescent="0.2">
      <c r="B203" t="s">
        <v>277</v>
      </c>
      <c r="C203">
        <v>121</v>
      </c>
      <c r="D203">
        <v>122</v>
      </c>
      <c r="E203">
        <v>122</v>
      </c>
      <c r="F203">
        <v>126</v>
      </c>
      <c r="G203">
        <v>124</v>
      </c>
      <c r="H203">
        <v>122</v>
      </c>
      <c r="I203">
        <v>124</v>
      </c>
      <c r="J203">
        <v>122</v>
      </c>
      <c r="K203">
        <v>121</v>
      </c>
      <c r="L203">
        <v>115</v>
      </c>
      <c r="M203">
        <v>114</v>
      </c>
      <c r="N203">
        <v>121</v>
      </c>
      <c r="O203" s="173">
        <f t="shared" si="46"/>
        <v>121.16666666666667</v>
      </c>
      <c r="P203" s="173">
        <f t="shared" si="47"/>
        <v>7.75</v>
      </c>
      <c r="Q203" s="177">
        <f t="shared" si="48"/>
        <v>6.8332108743570902E-2</v>
      </c>
    </row>
    <row r="204" spans="1:17" x14ac:dyDescent="0.2">
      <c r="B204" t="s">
        <v>278</v>
      </c>
      <c r="C204">
        <v>99</v>
      </c>
      <c r="D204">
        <v>100</v>
      </c>
      <c r="E204">
        <v>107</v>
      </c>
      <c r="F204">
        <v>104</v>
      </c>
      <c r="G204">
        <v>103</v>
      </c>
      <c r="H204">
        <v>100</v>
      </c>
      <c r="I204">
        <v>101</v>
      </c>
      <c r="J204">
        <v>98</v>
      </c>
      <c r="K204">
        <v>92</v>
      </c>
      <c r="L204">
        <v>85</v>
      </c>
      <c r="M204">
        <v>92</v>
      </c>
      <c r="N204">
        <v>88</v>
      </c>
      <c r="O204" s="173">
        <f t="shared" si="46"/>
        <v>97.416666666666671</v>
      </c>
      <c r="P204" s="173">
        <f t="shared" si="47"/>
        <v>-23.75</v>
      </c>
      <c r="Q204" s="177">
        <f t="shared" ref="Q204:Q210" si="49">SUM(P204/O203)</f>
        <v>-0.19601100412654746</v>
      </c>
    </row>
    <row r="205" spans="1:17" x14ac:dyDescent="0.2">
      <c r="B205" t="s">
        <v>279</v>
      </c>
      <c r="C205">
        <v>79</v>
      </c>
      <c r="D205">
        <v>82</v>
      </c>
      <c r="E205">
        <v>82</v>
      </c>
      <c r="F205">
        <v>78</v>
      </c>
      <c r="G205">
        <v>79</v>
      </c>
      <c r="H205">
        <v>83</v>
      </c>
      <c r="I205">
        <v>84</v>
      </c>
      <c r="J205">
        <v>90</v>
      </c>
      <c r="K205">
        <v>95</v>
      </c>
      <c r="L205">
        <v>94</v>
      </c>
      <c r="M205">
        <v>94</v>
      </c>
      <c r="N205">
        <v>72</v>
      </c>
      <c r="O205" s="173">
        <f t="shared" si="46"/>
        <v>84.333333333333329</v>
      </c>
      <c r="P205" s="173">
        <f t="shared" ref="P205:P210" si="50">SUM(O205-O204)</f>
        <v>-13.083333333333343</v>
      </c>
      <c r="Q205" s="177">
        <f t="shared" si="49"/>
        <v>-0.13430282292557752</v>
      </c>
    </row>
    <row r="206" spans="1:17" x14ac:dyDescent="0.2">
      <c r="B206" t="s">
        <v>317</v>
      </c>
      <c r="C206">
        <v>84</v>
      </c>
      <c r="D206">
        <v>87</v>
      </c>
      <c r="E206">
        <v>92</v>
      </c>
      <c r="F206">
        <v>97</v>
      </c>
      <c r="G206">
        <v>101</v>
      </c>
      <c r="H206">
        <v>100</v>
      </c>
      <c r="I206">
        <v>85</v>
      </c>
      <c r="J206">
        <v>86</v>
      </c>
      <c r="K206">
        <v>90</v>
      </c>
      <c r="L206">
        <v>89</v>
      </c>
      <c r="M206">
        <v>83</v>
      </c>
      <c r="N206">
        <v>82</v>
      </c>
      <c r="O206" s="173">
        <f t="shared" si="46"/>
        <v>89.666666666666671</v>
      </c>
      <c r="P206" s="173">
        <f t="shared" si="50"/>
        <v>5.3333333333333428</v>
      </c>
      <c r="Q206" s="177">
        <f t="shared" si="49"/>
        <v>6.324110671936771E-2</v>
      </c>
    </row>
    <row r="207" spans="1:17" x14ac:dyDescent="0.2">
      <c r="B207" t="s">
        <v>338</v>
      </c>
      <c r="C207">
        <v>87</v>
      </c>
      <c r="D207">
        <v>86</v>
      </c>
      <c r="E207">
        <v>87</v>
      </c>
      <c r="F207">
        <v>77</v>
      </c>
      <c r="G207">
        <v>76</v>
      </c>
      <c r="H207">
        <v>73</v>
      </c>
      <c r="I207">
        <v>69</v>
      </c>
      <c r="J207">
        <v>75</v>
      </c>
      <c r="K207">
        <v>74</v>
      </c>
      <c r="L207">
        <v>74</v>
      </c>
      <c r="M207">
        <v>72</v>
      </c>
      <c r="N207">
        <v>73</v>
      </c>
      <c r="O207" s="173">
        <f t="shared" si="46"/>
        <v>76.916666666666671</v>
      </c>
      <c r="P207" s="173">
        <f t="shared" si="50"/>
        <v>-12.75</v>
      </c>
      <c r="Q207" s="177">
        <f t="shared" si="49"/>
        <v>-0.14219330855018586</v>
      </c>
    </row>
    <row r="208" spans="1:17" x14ac:dyDescent="0.2">
      <c r="B208" t="s">
        <v>411</v>
      </c>
      <c r="C208">
        <v>74</v>
      </c>
      <c r="D208">
        <v>71</v>
      </c>
      <c r="E208">
        <v>77</v>
      </c>
      <c r="F208">
        <v>76</v>
      </c>
      <c r="G208">
        <v>78</v>
      </c>
      <c r="H208">
        <v>71</v>
      </c>
      <c r="I208">
        <v>69</v>
      </c>
      <c r="J208">
        <v>64</v>
      </c>
      <c r="K208">
        <v>62</v>
      </c>
      <c r="L208">
        <v>55</v>
      </c>
      <c r="M208">
        <v>55</v>
      </c>
      <c r="N208">
        <v>54</v>
      </c>
      <c r="O208" s="173">
        <f t="shared" si="46"/>
        <v>67.166666666666671</v>
      </c>
      <c r="P208" s="173">
        <f t="shared" si="50"/>
        <v>-9.75</v>
      </c>
      <c r="Q208" s="177">
        <f t="shared" si="49"/>
        <v>-0.12676056338028169</v>
      </c>
    </row>
    <row r="209" spans="1:17" x14ac:dyDescent="0.2">
      <c r="B209" t="s">
        <v>445</v>
      </c>
      <c r="C209">
        <v>59</v>
      </c>
      <c r="D209">
        <v>57</v>
      </c>
      <c r="E209">
        <v>54</v>
      </c>
      <c r="F209">
        <v>53</v>
      </c>
      <c r="G209">
        <v>56</v>
      </c>
      <c r="H209">
        <v>62</v>
      </c>
      <c r="I209">
        <v>55</v>
      </c>
      <c r="J209">
        <v>50</v>
      </c>
      <c r="K209">
        <v>49</v>
      </c>
      <c r="L209">
        <v>51</v>
      </c>
      <c r="M209">
        <v>52</v>
      </c>
      <c r="N209">
        <v>50</v>
      </c>
      <c r="O209" s="173">
        <f t="shared" si="46"/>
        <v>54</v>
      </c>
      <c r="P209" s="173">
        <f t="shared" si="50"/>
        <v>-13.166666666666671</v>
      </c>
      <c r="Q209" s="177">
        <f t="shared" si="49"/>
        <v>-0.19602977667493801</v>
      </c>
    </row>
    <row r="210" spans="1:17" x14ac:dyDescent="0.2">
      <c r="B210" t="s">
        <v>510</v>
      </c>
      <c r="C210">
        <v>54</v>
      </c>
      <c r="D210">
        <v>57</v>
      </c>
      <c r="E210">
        <v>63</v>
      </c>
      <c r="F210">
        <v>64</v>
      </c>
      <c r="G210">
        <v>67</v>
      </c>
      <c r="H210">
        <v>65</v>
      </c>
      <c r="I210">
        <v>65</v>
      </c>
      <c r="J210">
        <v>65</v>
      </c>
      <c r="K210">
        <v>67</v>
      </c>
      <c r="L210">
        <v>66</v>
      </c>
      <c r="M210">
        <v>66</v>
      </c>
      <c r="N210">
        <v>69</v>
      </c>
      <c r="O210" s="173">
        <f t="shared" si="46"/>
        <v>64</v>
      </c>
      <c r="P210" s="173">
        <f t="shared" si="50"/>
        <v>10</v>
      </c>
      <c r="Q210" s="177">
        <f t="shared" si="49"/>
        <v>0.18518518518518517</v>
      </c>
    </row>
    <row r="211" spans="1:17" x14ac:dyDescent="0.2">
      <c r="B211" t="s">
        <v>546</v>
      </c>
      <c r="C211">
        <v>65</v>
      </c>
      <c r="D211">
        <v>59</v>
      </c>
      <c r="E211">
        <v>54</v>
      </c>
      <c r="F211">
        <v>55</v>
      </c>
      <c r="G211">
        <v>55</v>
      </c>
      <c r="H211">
        <v>58</v>
      </c>
      <c r="I211">
        <v>57</v>
      </c>
      <c r="J211">
        <v>57</v>
      </c>
      <c r="K211">
        <v>58</v>
      </c>
      <c r="L211">
        <v>58</v>
      </c>
      <c r="M211">
        <v>67</v>
      </c>
      <c r="N211">
        <v>66</v>
      </c>
      <c r="O211" s="173">
        <f t="shared" si="46"/>
        <v>59.083333333333336</v>
      </c>
      <c r="P211" s="173">
        <f>SUM(O211-O210)</f>
        <v>-4.9166666666666643</v>
      </c>
      <c r="Q211" s="177">
        <f>SUM(P211/O210)</f>
        <v>-7.682291666666663E-2</v>
      </c>
    </row>
    <row r="212" spans="1:17" x14ac:dyDescent="0.2">
      <c r="B212" t="s">
        <v>547</v>
      </c>
      <c r="C212">
        <v>66</v>
      </c>
      <c r="D212">
        <v>61</v>
      </c>
      <c r="E212">
        <v>46</v>
      </c>
      <c r="F212">
        <v>43</v>
      </c>
      <c r="G212">
        <v>41</v>
      </c>
      <c r="H212">
        <v>37</v>
      </c>
      <c r="I212">
        <v>40</v>
      </c>
      <c r="J212">
        <v>39</v>
      </c>
      <c r="K212">
        <v>38</v>
      </c>
      <c r="L212">
        <v>37</v>
      </c>
      <c r="M212">
        <v>37</v>
      </c>
      <c r="N212">
        <v>34</v>
      </c>
      <c r="O212" s="173">
        <f t="shared" si="46"/>
        <v>43.25</v>
      </c>
      <c r="P212" s="173">
        <f>SUM(O212-O211)</f>
        <v>-15.833333333333336</v>
      </c>
      <c r="Q212" s="177">
        <f>SUM(P212/O211)</f>
        <v>-0.26798307475317351</v>
      </c>
    </row>
    <row r="213" spans="1:17" x14ac:dyDescent="0.2">
      <c r="B213" t="s">
        <v>817</v>
      </c>
      <c r="C213">
        <v>38</v>
      </c>
      <c r="D213">
        <v>38</v>
      </c>
      <c r="E213">
        <v>34</v>
      </c>
      <c r="F213">
        <v>33</v>
      </c>
      <c r="G213">
        <v>32</v>
      </c>
      <c r="H213">
        <v>32</v>
      </c>
      <c r="I213">
        <v>34</v>
      </c>
      <c r="J213">
        <v>31</v>
      </c>
      <c r="K213">
        <v>31</v>
      </c>
      <c r="L213">
        <v>38</v>
      </c>
      <c r="M213">
        <v>39</v>
      </c>
      <c r="N213">
        <v>37</v>
      </c>
      <c r="O213" s="173">
        <f t="shared" si="46"/>
        <v>34.75</v>
      </c>
      <c r="P213" s="173">
        <f>SUM(O213-O212)</f>
        <v>-8.5</v>
      </c>
      <c r="Q213" s="177">
        <f>SUM(P213/O212)</f>
        <v>-0.19653179190751446</v>
      </c>
    </row>
    <row r="214" spans="1:17" x14ac:dyDescent="0.2">
      <c r="B214" t="s">
        <v>818</v>
      </c>
      <c r="C214">
        <v>37</v>
      </c>
      <c r="D214">
        <v>38</v>
      </c>
      <c r="E214">
        <v>33</v>
      </c>
      <c r="F214">
        <v>35</v>
      </c>
      <c r="G214">
        <v>40</v>
      </c>
      <c r="H214">
        <v>42</v>
      </c>
      <c r="I214">
        <v>45</v>
      </c>
      <c r="J214">
        <v>45</v>
      </c>
      <c r="K214">
        <v>42</v>
      </c>
      <c r="L214">
        <v>40</v>
      </c>
      <c r="M214">
        <v>38</v>
      </c>
      <c r="N214">
        <v>39</v>
      </c>
      <c r="O214" s="173">
        <f t="shared" si="46"/>
        <v>39.5</v>
      </c>
      <c r="P214" s="173">
        <f>SUM(O214-O213)</f>
        <v>4.75</v>
      </c>
      <c r="Q214" s="177">
        <f>SUM(P214/O213)</f>
        <v>0.1366906474820144</v>
      </c>
    </row>
    <row r="215" spans="1:17" x14ac:dyDescent="0.2">
      <c r="B215" t="s">
        <v>899</v>
      </c>
      <c r="C215">
        <v>36</v>
      </c>
      <c r="D215">
        <v>0</v>
      </c>
      <c r="E215">
        <v>0</v>
      </c>
      <c r="F215">
        <v>35</v>
      </c>
      <c r="O215" s="173"/>
      <c r="P215" s="173"/>
      <c r="Q215" s="177"/>
    </row>
    <row r="216" spans="1:17" x14ac:dyDescent="0.2">
      <c r="A216" s="520"/>
      <c r="B216" s="520"/>
      <c r="C216" s="520"/>
      <c r="D216" s="520"/>
      <c r="E216" s="520"/>
      <c r="F216" s="520"/>
      <c r="G216" s="520"/>
      <c r="H216" s="520"/>
      <c r="I216" s="520"/>
      <c r="J216" s="520"/>
      <c r="K216" s="520"/>
      <c r="L216" s="520"/>
      <c r="M216" s="520"/>
      <c r="N216" s="520"/>
      <c r="O216" s="520"/>
      <c r="P216" s="520"/>
      <c r="Q216" s="520"/>
    </row>
    <row r="217" spans="1:17" ht="25.5" x14ac:dyDescent="0.2">
      <c r="A217" s="175" t="s">
        <v>422</v>
      </c>
      <c r="B217" s="176" t="s">
        <v>392</v>
      </c>
      <c r="C217" s="178" t="s">
        <v>393</v>
      </c>
      <c r="D217" s="178" t="s">
        <v>394</v>
      </c>
      <c r="E217" s="178" t="s">
        <v>395</v>
      </c>
      <c r="F217" s="178" t="s">
        <v>396</v>
      </c>
      <c r="G217" s="178" t="s">
        <v>397</v>
      </c>
      <c r="H217" s="178" t="s">
        <v>398</v>
      </c>
      <c r="I217" s="178" t="s">
        <v>399</v>
      </c>
      <c r="J217" s="178" t="s">
        <v>400</v>
      </c>
      <c r="K217" s="178" t="s">
        <v>401</v>
      </c>
      <c r="L217" s="178" t="s">
        <v>402</v>
      </c>
      <c r="M217" s="178" t="s">
        <v>403</v>
      </c>
      <c r="N217" s="178" t="s">
        <v>404</v>
      </c>
    </row>
    <row r="218" spans="1:17" x14ac:dyDescent="0.2">
      <c r="B218" t="s">
        <v>408</v>
      </c>
      <c r="C218">
        <v>92</v>
      </c>
      <c r="D218">
        <v>91</v>
      </c>
      <c r="E218">
        <v>97</v>
      </c>
      <c r="F218">
        <v>94</v>
      </c>
      <c r="G218">
        <v>87</v>
      </c>
      <c r="H218">
        <v>85</v>
      </c>
      <c r="I218">
        <v>91</v>
      </c>
      <c r="J218">
        <v>89</v>
      </c>
      <c r="K218">
        <v>92</v>
      </c>
      <c r="L218">
        <v>92</v>
      </c>
      <c r="M218">
        <v>94</v>
      </c>
      <c r="N218">
        <v>92</v>
      </c>
      <c r="O218" s="173">
        <f t="shared" ref="O218:O236" si="51">SUM(C218:N218)/12</f>
        <v>91.333333333333329</v>
      </c>
      <c r="P218" s="173"/>
    </row>
    <row r="219" spans="1:17" x14ac:dyDescent="0.2">
      <c r="B219" t="s">
        <v>409</v>
      </c>
      <c r="C219">
        <v>90</v>
      </c>
      <c r="D219">
        <v>98</v>
      </c>
      <c r="E219">
        <v>89</v>
      </c>
      <c r="F219">
        <v>84</v>
      </c>
      <c r="G219">
        <v>84</v>
      </c>
      <c r="H219">
        <v>78</v>
      </c>
      <c r="I219">
        <v>83</v>
      </c>
      <c r="J219">
        <v>87</v>
      </c>
      <c r="K219">
        <v>81</v>
      </c>
      <c r="L219">
        <v>81</v>
      </c>
      <c r="M219">
        <v>77</v>
      </c>
      <c r="N219">
        <v>79</v>
      </c>
      <c r="O219" s="173">
        <f t="shared" si="51"/>
        <v>84.25</v>
      </c>
      <c r="P219" s="173">
        <f t="shared" ref="P219:P226" si="52">SUM(O219-O218)</f>
        <v>-7.0833333333333286</v>
      </c>
      <c r="Q219" s="177">
        <f t="shared" ref="Q219:Q225" si="53">SUM(P219/O218)</f>
        <v>-7.7554744525547392E-2</v>
      </c>
    </row>
    <row r="220" spans="1:17" x14ac:dyDescent="0.2">
      <c r="B220" t="s">
        <v>410</v>
      </c>
      <c r="C220">
        <v>81</v>
      </c>
      <c r="D220">
        <v>78</v>
      </c>
      <c r="E220">
        <v>73</v>
      </c>
      <c r="F220">
        <v>77</v>
      </c>
      <c r="G220">
        <v>86</v>
      </c>
      <c r="H220">
        <v>96</v>
      </c>
      <c r="I220">
        <v>84</v>
      </c>
      <c r="J220">
        <v>72</v>
      </c>
      <c r="K220">
        <v>74</v>
      </c>
      <c r="L220">
        <v>76</v>
      </c>
      <c r="M220">
        <v>78</v>
      </c>
      <c r="N220">
        <v>88</v>
      </c>
      <c r="O220" s="173">
        <f t="shared" si="51"/>
        <v>80.25</v>
      </c>
      <c r="P220" s="173">
        <f t="shared" si="52"/>
        <v>-4</v>
      </c>
      <c r="Q220" s="177">
        <f t="shared" si="53"/>
        <v>-4.7477744807121663E-2</v>
      </c>
    </row>
    <row r="221" spans="1:17" x14ac:dyDescent="0.2">
      <c r="B221" t="s">
        <v>244</v>
      </c>
      <c r="C221">
        <v>98</v>
      </c>
      <c r="D221">
        <v>98</v>
      </c>
      <c r="E221">
        <v>100</v>
      </c>
      <c r="F221">
        <v>93</v>
      </c>
      <c r="G221">
        <v>93</v>
      </c>
      <c r="H221">
        <v>93</v>
      </c>
      <c r="I221">
        <v>93</v>
      </c>
      <c r="J221">
        <v>93</v>
      </c>
      <c r="K221">
        <v>93</v>
      </c>
      <c r="L221">
        <v>93</v>
      </c>
      <c r="M221">
        <v>93</v>
      </c>
      <c r="N221">
        <v>93</v>
      </c>
      <c r="O221" s="173">
        <f t="shared" si="51"/>
        <v>94.416666666666671</v>
      </c>
      <c r="P221" s="173">
        <f t="shared" si="52"/>
        <v>14.166666666666671</v>
      </c>
      <c r="Q221" s="177">
        <f t="shared" si="53"/>
        <v>0.17653167185877472</v>
      </c>
    </row>
    <row r="222" spans="1:17" x14ac:dyDescent="0.2">
      <c r="B222" t="s">
        <v>243</v>
      </c>
      <c r="C222">
        <v>106</v>
      </c>
      <c r="D222">
        <v>90</v>
      </c>
      <c r="E222">
        <v>91</v>
      </c>
      <c r="F222">
        <v>91</v>
      </c>
      <c r="G222">
        <v>87</v>
      </c>
      <c r="H222">
        <v>80</v>
      </c>
      <c r="I222">
        <v>76</v>
      </c>
      <c r="J222">
        <v>78</v>
      </c>
      <c r="K222">
        <v>83</v>
      </c>
      <c r="L222">
        <v>92</v>
      </c>
      <c r="M222">
        <v>99</v>
      </c>
      <c r="N222">
        <v>101</v>
      </c>
      <c r="O222" s="173">
        <f t="shared" si="51"/>
        <v>89.5</v>
      </c>
      <c r="P222" s="173">
        <f t="shared" si="52"/>
        <v>-4.9166666666666714</v>
      </c>
      <c r="Q222" s="177">
        <f t="shared" si="53"/>
        <v>-5.2074139452780277E-2</v>
      </c>
    </row>
    <row r="223" spans="1:17" x14ac:dyDescent="0.2">
      <c r="B223" t="s">
        <v>264</v>
      </c>
      <c r="C223">
        <v>93</v>
      </c>
      <c r="D223">
        <v>90</v>
      </c>
      <c r="E223">
        <v>91</v>
      </c>
      <c r="F223">
        <v>94</v>
      </c>
      <c r="G223">
        <v>91</v>
      </c>
      <c r="H223">
        <v>91</v>
      </c>
      <c r="I223">
        <v>93</v>
      </c>
      <c r="J223">
        <v>90</v>
      </c>
      <c r="K223">
        <v>83</v>
      </c>
      <c r="L223">
        <v>84</v>
      </c>
      <c r="M223">
        <v>79</v>
      </c>
      <c r="N223">
        <v>77</v>
      </c>
      <c r="O223" s="173">
        <f t="shared" si="51"/>
        <v>88</v>
      </c>
      <c r="P223" s="173">
        <f t="shared" si="52"/>
        <v>-1.5</v>
      </c>
      <c r="Q223" s="177">
        <f t="shared" si="53"/>
        <v>-1.6759776536312849E-2</v>
      </c>
    </row>
    <row r="224" spans="1:17" x14ac:dyDescent="0.2">
      <c r="B224" t="s">
        <v>274</v>
      </c>
      <c r="C224">
        <v>79</v>
      </c>
      <c r="D224">
        <v>78</v>
      </c>
      <c r="E224">
        <v>74</v>
      </c>
      <c r="F224">
        <v>69</v>
      </c>
      <c r="G224">
        <v>66</v>
      </c>
      <c r="H224">
        <v>62</v>
      </c>
      <c r="I224">
        <v>59</v>
      </c>
      <c r="J224">
        <v>64</v>
      </c>
      <c r="K224">
        <v>59</v>
      </c>
      <c r="L224">
        <v>55</v>
      </c>
      <c r="M224">
        <v>61</v>
      </c>
      <c r="N224">
        <v>64</v>
      </c>
      <c r="O224" s="173">
        <f t="shared" si="51"/>
        <v>65.833333333333329</v>
      </c>
      <c r="P224" s="173">
        <f t="shared" si="52"/>
        <v>-22.166666666666671</v>
      </c>
      <c r="Q224" s="177">
        <f t="shared" si="53"/>
        <v>-0.25189393939393945</v>
      </c>
    </row>
    <row r="225" spans="1:17" x14ac:dyDescent="0.2">
      <c r="B225" t="s">
        <v>277</v>
      </c>
      <c r="C225">
        <v>68</v>
      </c>
      <c r="D225">
        <v>67</v>
      </c>
      <c r="E225">
        <v>71</v>
      </c>
      <c r="F225">
        <v>72</v>
      </c>
      <c r="G225">
        <v>81</v>
      </c>
      <c r="H225">
        <v>85</v>
      </c>
      <c r="I225">
        <v>85</v>
      </c>
      <c r="J225">
        <v>85</v>
      </c>
      <c r="K225">
        <v>73</v>
      </c>
      <c r="L225">
        <v>82</v>
      </c>
      <c r="M225">
        <v>78</v>
      </c>
      <c r="N225">
        <v>80</v>
      </c>
      <c r="O225" s="173">
        <f t="shared" si="51"/>
        <v>77.25</v>
      </c>
      <c r="P225" s="173">
        <f t="shared" si="52"/>
        <v>11.416666666666671</v>
      </c>
      <c r="Q225" s="177">
        <f t="shared" si="53"/>
        <v>0.17341772151898743</v>
      </c>
    </row>
    <row r="226" spans="1:17" x14ac:dyDescent="0.2">
      <c r="B226" t="s">
        <v>278</v>
      </c>
      <c r="C226">
        <v>77</v>
      </c>
      <c r="D226">
        <v>75</v>
      </c>
      <c r="E226">
        <v>74</v>
      </c>
      <c r="F226">
        <v>75</v>
      </c>
      <c r="G226">
        <v>75</v>
      </c>
      <c r="H226">
        <v>77</v>
      </c>
      <c r="I226">
        <v>81</v>
      </c>
      <c r="J226">
        <v>79</v>
      </c>
      <c r="K226">
        <v>79</v>
      </c>
      <c r="L226">
        <v>79</v>
      </c>
      <c r="M226">
        <v>80</v>
      </c>
      <c r="N226">
        <v>76</v>
      </c>
      <c r="O226" s="173">
        <f t="shared" si="51"/>
        <v>77.25</v>
      </c>
      <c r="P226" s="173">
        <f t="shared" si="52"/>
        <v>0</v>
      </c>
      <c r="Q226" s="177">
        <f t="shared" ref="Q226:Q232" si="54">SUM(P226/O225)</f>
        <v>0</v>
      </c>
    </row>
    <row r="227" spans="1:17" x14ac:dyDescent="0.2">
      <c r="B227" t="s">
        <v>279</v>
      </c>
      <c r="C227">
        <v>68</v>
      </c>
      <c r="D227">
        <v>66</v>
      </c>
      <c r="E227">
        <v>65</v>
      </c>
      <c r="F227">
        <v>61</v>
      </c>
      <c r="G227">
        <v>59</v>
      </c>
      <c r="H227">
        <v>57</v>
      </c>
      <c r="I227">
        <v>55</v>
      </c>
      <c r="J227">
        <v>56</v>
      </c>
      <c r="K227">
        <v>58</v>
      </c>
      <c r="L227">
        <v>60</v>
      </c>
      <c r="M227">
        <v>61</v>
      </c>
      <c r="N227">
        <v>62</v>
      </c>
      <c r="O227" s="173">
        <f t="shared" si="51"/>
        <v>60.666666666666664</v>
      </c>
      <c r="P227" s="173">
        <f t="shared" ref="P227:P232" si="55">SUM(O227-O226)</f>
        <v>-16.583333333333336</v>
      </c>
      <c r="Q227" s="177">
        <f t="shared" si="54"/>
        <v>-0.21467098166127296</v>
      </c>
    </row>
    <row r="228" spans="1:17" x14ac:dyDescent="0.2">
      <c r="B228" t="s">
        <v>317</v>
      </c>
      <c r="C228">
        <v>58</v>
      </c>
      <c r="D228">
        <v>59</v>
      </c>
      <c r="E228">
        <v>55</v>
      </c>
      <c r="F228">
        <v>68</v>
      </c>
      <c r="G228">
        <v>62</v>
      </c>
      <c r="H228">
        <v>58</v>
      </c>
      <c r="I228">
        <v>55</v>
      </c>
      <c r="J228">
        <v>58</v>
      </c>
      <c r="K228">
        <v>59</v>
      </c>
      <c r="L228">
        <v>57</v>
      </c>
      <c r="M228">
        <v>52</v>
      </c>
      <c r="N228">
        <v>54</v>
      </c>
      <c r="O228" s="173">
        <f t="shared" si="51"/>
        <v>57.916666666666664</v>
      </c>
      <c r="P228" s="173">
        <f t="shared" si="55"/>
        <v>-2.75</v>
      </c>
      <c r="Q228" s="177">
        <f t="shared" si="54"/>
        <v>-4.5329670329670328E-2</v>
      </c>
    </row>
    <row r="229" spans="1:17" x14ac:dyDescent="0.2">
      <c r="B229" t="s">
        <v>338</v>
      </c>
      <c r="C229">
        <v>55</v>
      </c>
      <c r="D229">
        <v>55</v>
      </c>
      <c r="E229">
        <v>49</v>
      </c>
      <c r="F229">
        <v>51</v>
      </c>
      <c r="G229">
        <v>53</v>
      </c>
      <c r="H229">
        <v>57</v>
      </c>
      <c r="I229">
        <v>63</v>
      </c>
      <c r="J229">
        <v>65</v>
      </c>
      <c r="K229">
        <v>65</v>
      </c>
      <c r="L229">
        <v>61</v>
      </c>
      <c r="M229">
        <v>66</v>
      </c>
      <c r="N229">
        <v>63</v>
      </c>
      <c r="O229" s="173">
        <f t="shared" si="51"/>
        <v>58.583333333333336</v>
      </c>
      <c r="P229" s="173">
        <f t="shared" si="55"/>
        <v>0.6666666666666714</v>
      </c>
      <c r="Q229" s="177">
        <f t="shared" si="54"/>
        <v>1.1510791366906557E-2</v>
      </c>
    </row>
    <row r="230" spans="1:17" x14ac:dyDescent="0.2">
      <c r="B230" t="s">
        <v>411</v>
      </c>
      <c r="C230">
        <v>63</v>
      </c>
      <c r="D230">
        <v>66</v>
      </c>
      <c r="E230">
        <v>66</v>
      </c>
      <c r="F230">
        <v>59</v>
      </c>
      <c r="G230">
        <v>69</v>
      </c>
      <c r="H230">
        <v>72</v>
      </c>
      <c r="I230">
        <v>76</v>
      </c>
      <c r="J230">
        <v>75</v>
      </c>
      <c r="K230">
        <v>81</v>
      </c>
      <c r="L230">
        <v>82</v>
      </c>
      <c r="M230">
        <v>70</v>
      </c>
      <c r="N230">
        <v>80</v>
      </c>
      <c r="O230" s="173">
        <f t="shared" si="51"/>
        <v>71.583333333333329</v>
      </c>
      <c r="P230" s="173">
        <f t="shared" si="55"/>
        <v>12.999999999999993</v>
      </c>
      <c r="Q230" s="177">
        <f t="shared" si="54"/>
        <v>0.22190611664295862</v>
      </c>
    </row>
    <row r="231" spans="1:17" x14ac:dyDescent="0.2">
      <c r="B231" t="s">
        <v>445</v>
      </c>
      <c r="C231">
        <v>72</v>
      </c>
      <c r="D231">
        <v>71</v>
      </c>
      <c r="E231">
        <v>74</v>
      </c>
      <c r="F231">
        <v>75</v>
      </c>
      <c r="G231">
        <v>69</v>
      </c>
      <c r="H231">
        <v>74</v>
      </c>
      <c r="I231">
        <v>72</v>
      </c>
      <c r="J231">
        <v>74</v>
      </c>
      <c r="K231">
        <v>79</v>
      </c>
      <c r="L231">
        <v>82</v>
      </c>
      <c r="M231">
        <v>87</v>
      </c>
      <c r="N231">
        <v>87</v>
      </c>
      <c r="O231" s="173">
        <f t="shared" si="51"/>
        <v>76.333333333333329</v>
      </c>
      <c r="P231" s="173">
        <f t="shared" si="55"/>
        <v>4.75</v>
      </c>
      <c r="Q231" s="177">
        <f t="shared" si="54"/>
        <v>6.6356228172293363E-2</v>
      </c>
    </row>
    <row r="232" spans="1:17" x14ac:dyDescent="0.2">
      <c r="B232" t="s">
        <v>510</v>
      </c>
      <c r="C232">
        <v>94</v>
      </c>
      <c r="D232">
        <v>94</v>
      </c>
      <c r="E232">
        <v>101</v>
      </c>
      <c r="F232">
        <v>108</v>
      </c>
      <c r="G232">
        <v>108</v>
      </c>
      <c r="H232">
        <v>107</v>
      </c>
      <c r="I232">
        <v>98</v>
      </c>
      <c r="J232">
        <v>97</v>
      </c>
      <c r="K232">
        <v>96</v>
      </c>
      <c r="L232">
        <v>98</v>
      </c>
      <c r="M232">
        <v>100</v>
      </c>
      <c r="N232">
        <v>101</v>
      </c>
      <c r="O232" s="173">
        <f t="shared" si="51"/>
        <v>100.16666666666667</v>
      </c>
      <c r="P232" s="173">
        <f t="shared" si="55"/>
        <v>23.833333333333343</v>
      </c>
      <c r="Q232" s="177">
        <f t="shared" si="54"/>
        <v>0.31222707423580798</v>
      </c>
    </row>
    <row r="233" spans="1:17" x14ac:dyDescent="0.2">
      <c r="B233" t="s">
        <v>546</v>
      </c>
      <c r="C233">
        <v>101</v>
      </c>
      <c r="D233">
        <v>96</v>
      </c>
      <c r="E233">
        <v>102</v>
      </c>
      <c r="F233">
        <v>105</v>
      </c>
      <c r="G233">
        <v>103</v>
      </c>
      <c r="H233">
        <v>104</v>
      </c>
      <c r="I233">
        <v>101</v>
      </c>
      <c r="J233">
        <v>103</v>
      </c>
      <c r="K233">
        <v>94</v>
      </c>
      <c r="L233">
        <v>106</v>
      </c>
      <c r="M233">
        <v>101</v>
      </c>
      <c r="N233">
        <v>100</v>
      </c>
      <c r="O233" s="173">
        <f t="shared" si="51"/>
        <v>101.33333333333333</v>
      </c>
      <c r="P233" s="173">
        <f>SUM(O233-O232)</f>
        <v>1.1666666666666572</v>
      </c>
      <c r="Q233" s="177">
        <f>SUM(P233/O232)</f>
        <v>1.1647254575707059E-2</v>
      </c>
    </row>
    <row r="234" spans="1:17" x14ac:dyDescent="0.2">
      <c r="B234" t="s">
        <v>547</v>
      </c>
      <c r="C234">
        <v>95</v>
      </c>
      <c r="D234">
        <v>93</v>
      </c>
      <c r="E234">
        <v>93</v>
      </c>
      <c r="F234">
        <v>97</v>
      </c>
      <c r="G234">
        <v>93</v>
      </c>
      <c r="H234">
        <v>91</v>
      </c>
      <c r="I234">
        <v>92</v>
      </c>
      <c r="J234">
        <v>91</v>
      </c>
      <c r="K234">
        <v>87</v>
      </c>
      <c r="L234">
        <v>88</v>
      </c>
      <c r="M234">
        <v>86</v>
      </c>
      <c r="N234">
        <v>84</v>
      </c>
      <c r="O234" s="173">
        <f t="shared" si="51"/>
        <v>90.833333333333329</v>
      </c>
      <c r="P234" s="173">
        <f>SUM(O234-O233)</f>
        <v>-10.5</v>
      </c>
      <c r="Q234" s="177">
        <f>SUM(P234/O233)</f>
        <v>-0.10361842105263158</v>
      </c>
    </row>
    <row r="235" spans="1:17" x14ac:dyDescent="0.2">
      <c r="B235" t="s">
        <v>817</v>
      </c>
      <c r="C235">
        <v>89</v>
      </c>
      <c r="D235">
        <v>94</v>
      </c>
      <c r="E235">
        <v>94</v>
      </c>
      <c r="F235">
        <v>92</v>
      </c>
      <c r="G235">
        <v>93</v>
      </c>
      <c r="H235">
        <v>98</v>
      </c>
      <c r="I235">
        <v>98</v>
      </c>
      <c r="J235">
        <v>96</v>
      </c>
      <c r="K235">
        <v>101</v>
      </c>
      <c r="L235">
        <v>100</v>
      </c>
      <c r="M235">
        <v>98</v>
      </c>
      <c r="N235">
        <v>99</v>
      </c>
      <c r="O235" s="173">
        <f t="shared" si="51"/>
        <v>96</v>
      </c>
      <c r="P235" s="173">
        <f>SUM(O235-O234)</f>
        <v>5.1666666666666714</v>
      </c>
      <c r="Q235" s="177">
        <f>SUM(P235/O234)</f>
        <v>5.688073394495418E-2</v>
      </c>
    </row>
    <row r="236" spans="1:17" x14ac:dyDescent="0.2">
      <c r="B236" t="s">
        <v>818</v>
      </c>
      <c r="C236">
        <v>92</v>
      </c>
      <c r="D236">
        <v>89</v>
      </c>
      <c r="E236">
        <v>90</v>
      </c>
      <c r="F236">
        <v>95</v>
      </c>
      <c r="G236">
        <v>89</v>
      </c>
      <c r="H236">
        <v>85</v>
      </c>
      <c r="I236">
        <v>87</v>
      </c>
      <c r="J236">
        <v>85</v>
      </c>
      <c r="K236">
        <v>87</v>
      </c>
      <c r="L236">
        <v>93</v>
      </c>
      <c r="M236">
        <v>90</v>
      </c>
      <c r="N236">
        <v>88</v>
      </c>
      <c r="O236" s="173">
        <f t="shared" si="51"/>
        <v>89.166666666666671</v>
      </c>
      <c r="P236" s="173">
        <f>SUM(O236-O235)</f>
        <v>-6.8333333333333286</v>
      </c>
      <c r="Q236" s="177">
        <f>SUM(P236/O235)</f>
        <v>-7.1180555555555511E-2</v>
      </c>
    </row>
    <row r="237" spans="1:17" x14ac:dyDescent="0.2">
      <c r="B237" t="s">
        <v>899</v>
      </c>
      <c r="C237">
        <v>92</v>
      </c>
      <c r="D237">
        <v>90</v>
      </c>
      <c r="E237">
        <v>95</v>
      </c>
      <c r="F237">
        <v>94</v>
      </c>
      <c r="O237" s="173"/>
      <c r="P237" s="173"/>
      <c r="Q237" s="177"/>
    </row>
    <row r="238" spans="1:17" ht="25.5" x14ac:dyDescent="0.2">
      <c r="A238" s="175" t="s">
        <v>423</v>
      </c>
      <c r="B238" s="176" t="s">
        <v>392</v>
      </c>
      <c r="C238" s="178" t="s">
        <v>393</v>
      </c>
      <c r="D238" s="178" t="s">
        <v>394</v>
      </c>
      <c r="E238" s="178" t="s">
        <v>395</v>
      </c>
      <c r="F238" s="178" t="s">
        <v>396</v>
      </c>
      <c r="G238" s="178" t="s">
        <v>397</v>
      </c>
      <c r="H238" s="178" t="s">
        <v>398</v>
      </c>
      <c r="I238" s="178" t="s">
        <v>399</v>
      </c>
      <c r="J238" s="178" t="s">
        <v>400</v>
      </c>
      <c r="K238" s="178" t="s">
        <v>401</v>
      </c>
      <c r="L238" s="178" t="s">
        <v>402</v>
      </c>
      <c r="M238" s="178" t="s">
        <v>403</v>
      </c>
      <c r="N238" s="178" t="s">
        <v>404</v>
      </c>
    </row>
    <row r="239" spans="1:17" x14ac:dyDescent="0.2">
      <c r="B239" t="s">
        <v>408</v>
      </c>
      <c r="C239">
        <v>438</v>
      </c>
      <c r="D239">
        <v>444</v>
      </c>
      <c r="E239">
        <v>446</v>
      </c>
      <c r="F239">
        <v>441</v>
      </c>
      <c r="G239">
        <v>444</v>
      </c>
      <c r="H239">
        <v>449</v>
      </c>
      <c r="I239">
        <v>447</v>
      </c>
      <c r="J239">
        <v>460</v>
      </c>
      <c r="K239">
        <v>465</v>
      </c>
      <c r="L239">
        <v>463</v>
      </c>
      <c r="M239">
        <v>469</v>
      </c>
      <c r="N239">
        <v>478</v>
      </c>
      <c r="O239" s="173">
        <f t="shared" ref="O239:O257" si="56">SUM(C239:N239)/12</f>
        <v>453.66666666666669</v>
      </c>
      <c r="P239" s="173"/>
    </row>
    <row r="240" spans="1:17" x14ac:dyDescent="0.2">
      <c r="B240" t="s">
        <v>409</v>
      </c>
      <c r="C240">
        <v>474</v>
      </c>
      <c r="D240">
        <v>481</v>
      </c>
      <c r="E240">
        <v>491</v>
      </c>
      <c r="F240">
        <v>478</v>
      </c>
      <c r="G240">
        <v>472</v>
      </c>
      <c r="H240">
        <v>477</v>
      </c>
      <c r="I240">
        <v>476</v>
      </c>
      <c r="J240">
        <v>470</v>
      </c>
      <c r="K240">
        <v>467</v>
      </c>
      <c r="L240">
        <v>480</v>
      </c>
      <c r="M240">
        <v>461</v>
      </c>
      <c r="N240">
        <v>449</v>
      </c>
      <c r="O240" s="173">
        <f t="shared" si="56"/>
        <v>473</v>
      </c>
      <c r="P240" s="173">
        <f t="shared" ref="P240:P247" si="57">SUM(O240-O239)</f>
        <v>19.333333333333314</v>
      </c>
      <c r="Q240" s="177">
        <f t="shared" ref="Q240:Q246" si="58">SUM(P240/O239)</f>
        <v>4.261572373254955E-2</v>
      </c>
    </row>
    <row r="241" spans="2:17" x14ac:dyDescent="0.2">
      <c r="B241" t="s">
        <v>410</v>
      </c>
      <c r="C241">
        <v>463</v>
      </c>
      <c r="D241">
        <v>474</v>
      </c>
      <c r="E241">
        <v>480</v>
      </c>
      <c r="F241">
        <v>457</v>
      </c>
      <c r="G241">
        <v>459</v>
      </c>
      <c r="H241">
        <v>469</v>
      </c>
      <c r="I241">
        <v>460</v>
      </c>
      <c r="J241">
        <v>446</v>
      </c>
      <c r="K241">
        <v>457</v>
      </c>
      <c r="L241">
        <v>468</v>
      </c>
      <c r="M241">
        <v>479</v>
      </c>
      <c r="N241">
        <v>490</v>
      </c>
      <c r="O241" s="173">
        <f t="shared" si="56"/>
        <v>466.83333333333331</v>
      </c>
      <c r="P241" s="173">
        <f t="shared" si="57"/>
        <v>-6.1666666666666856</v>
      </c>
      <c r="Q241" s="177">
        <f t="shared" si="58"/>
        <v>-1.3037350246652613E-2</v>
      </c>
    </row>
    <row r="242" spans="2:17" x14ac:dyDescent="0.2">
      <c r="B242" t="s">
        <v>244</v>
      </c>
      <c r="C242">
        <v>537</v>
      </c>
      <c r="D242">
        <v>544</v>
      </c>
      <c r="E242">
        <v>514</v>
      </c>
      <c r="F242">
        <v>562</v>
      </c>
      <c r="G242">
        <v>557</v>
      </c>
      <c r="H242">
        <v>551</v>
      </c>
      <c r="I242">
        <v>545</v>
      </c>
      <c r="J242">
        <v>538</v>
      </c>
      <c r="K242">
        <v>525</v>
      </c>
      <c r="L242">
        <v>518</v>
      </c>
      <c r="M242">
        <v>502</v>
      </c>
      <c r="N242">
        <v>506</v>
      </c>
      <c r="O242" s="173">
        <f t="shared" si="56"/>
        <v>533.25</v>
      </c>
      <c r="P242" s="173">
        <f t="shared" si="57"/>
        <v>66.416666666666686</v>
      </c>
      <c r="Q242" s="177">
        <f t="shared" si="58"/>
        <v>0.14227061763655841</v>
      </c>
    </row>
    <row r="243" spans="2:17" x14ac:dyDescent="0.2">
      <c r="B243" t="s">
        <v>243</v>
      </c>
      <c r="C243">
        <v>519</v>
      </c>
      <c r="D243">
        <v>507</v>
      </c>
      <c r="E243">
        <v>516</v>
      </c>
      <c r="F243">
        <v>509</v>
      </c>
      <c r="G243">
        <v>495</v>
      </c>
      <c r="H243">
        <v>503</v>
      </c>
      <c r="I243">
        <v>484</v>
      </c>
      <c r="J243">
        <v>484</v>
      </c>
      <c r="K243">
        <v>477</v>
      </c>
      <c r="L243">
        <v>470</v>
      </c>
      <c r="M243">
        <v>474</v>
      </c>
      <c r="N243">
        <v>464</v>
      </c>
      <c r="O243" s="173">
        <f t="shared" si="56"/>
        <v>491.83333333333331</v>
      </c>
      <c r="P243" s="173">
        <f t="shared" si="57"/>
        <v>-41.416666666666686</v>
      </c>
      <c r="Q243" s="177">
        <f t="shared" si="58"/>
        <v>-7.7668385685263353E-2</v>
      </c>
    </row>
    <row r="244" spans="2:17" x14ac:dyDescent="0.2">
      <c r="B244" t="s">
        <v>264</v>
      </c>
      <c r="C244">
        <v>472</v>
      </c>
      <c r="D244">
        <v>489</v>
      </c>
      <c r="E244">
        <v>468</v>
      </c>
      <c r="F244">
        <v>461</v>
      </c>
      <c r="G244">
        <v>460</v>
      </c>
      <c r="H244">
        <v>449</v>
      </c>
      <c r="I244">
        <v>436</v>
      </c>
      <c r="J244">
        <v>442</v>
      </c>
      <c r="K244">
        <v>445</v>
      </c>
      <c r="L244">
        <v>458</v>
      </c>
      <c r="M244">
        <v>472</v>
      </c>
      <c r="N244">
        <v>480</v>
      </c>
      <c r="O244" s="173">
        <f t="shared" si="56"/>
        <v>461</v>
      </c>
      <c r="P244" s="173">
        <f t="shared" si="57"/>
        <v>-30.833333333333314</v>
      </c>
      <c r="Q244" s="177">
        <f t="shared" si="58"/>
        <v>-6.2690613351406271E-2</v>
      </c>
    </row>
    <row r="245" spans="2:17" x14ac:dyDescent="0.2">
      <c r="B245" t="s">
        <v>274</v>
      </c>
      <c r="C245">
        <v>478</v>
      </c>
      <c r="D245">
        <v>478</v>
      </c>
      <c r="E245">
        <v>474</v>
      </c>
      <c r="F245">
        <v>493</v>
      </c>
      <c r="G245">
        <v>488</v>
      </c>
      <c r="H245">
        <v>495</v>
      </c>
      <c r="I245">
        <v>507</v>
      </c>
      <c r="J245">
        <v>499</v>
      </c>
      <c r="K245">
        <v>500</v>
      </c>
      <c r="L245">
        <v>518</v>
      </c>
      <c r="M245">
        <v>540</v>
      </c>
      <c r="N245">
        <v>551</v>
      </c>
      <c r="O245" s="173">
        <f t="shared" si="56"/>
        <v>501.75</v>
      </c>
      <c r="P245" s="173">
        <f t="shared" si="57"/>
        <v>40.75</v>
      </c>
      <c r="Q245" s="177">
        <f t="shared" si="58"/>
        <v>8.8394793926247286E-2</v>
      </c>
    </row>
    <row r="246" spans="2:17" x14ac:dyDescent="0.2">
      <c r="B246" t="s">
        <v>277</v>
      </c>
      <c r="C246">
        <v>551</v>
      </c>
      <c r="D246">
        <v>536</v>
      </c>
      <c r="E246">
        <v>521</v>
      </c>
      <c r="F246">
        <v>522</v>
      </c>
      <c r="G246">
        <v>527</v>
      </c>
      <c r="H246">
        <v>545</v>
      </c>
      <c r="I246">
        <v>548</v>
      </c>
      <c r="J246">
        <v>549</v>
      </c>
      <c r="K246">
        <v>549</v>
      </c>
      <c r="L246">
        <v>650</v>
      </c>
      <c r="M246">
        <v>666</v>
      </c>
      <c r="N246">
        <v>591</v>
      </c>
      <c r="O246" s="173">
        <f t="shared" si="56"/>
        <v>562.91666666666663</v>
      </c>
      <c r="P246" s="173">
        <f t="shared" si="57"/>
        <v>61.166666666666629</v>
      </c>
      <c r="Q246" s="177">
        <f t="shared" si="58"/>
        <v>0.12190666002325187</v>
      </c>
    </row>
    <row r="247" spans="2:17" x14ac:dyDescent="0.2">
      <c r="B247" t="s">
        <v>278</v>
      </c>
      <c r="C247">
        <v>596</v>
      </c>
      <c r="D247">
        <v>617</v>
      </c>
      <c r="E247">
        <v>722</v>
      </c>
      <c r="F247">
        <v>657</v>
      </c>
      <c r="G247">
        <v>723</v>
      </c>
      <c r="H247">
        <v>717</v>
      </c>
      <c r="I247">
        <v>729</v>
      </c>
      <c r="J247">
        <v>730</v>
      </c>
      <c r="K247">
        <v>721</v>
      </c>
      <c r="L247">
        <v>721</v>
      </c>
      <c r="M247">
        <v>754</v>
      </c>
      <c r="N247">
        <v>770</v>
      </c>
      <c r="O247" s="173">
        <f t="shared" si="56"/>
        <v>704.75</v>
      </c>
      <c r="P247" s="173">
        <f t="shared" si="57"/>
        <v>141.83333333333337</v>
      </c>
      <c r="Q247" s="177">
        <f t="shared" ref="Q247:Q253" si="59">SUM(P247/O246)</f>
        <v>0.25196150999259814</v>
      </c>
    </row>
    <row r="248" spans="2:17" x14ac:dyDescent="0.2">
      <c r="B248" t="s">
        <v>279</v>
      </c>
      <c r="C248">
        <v>711</v>
      </c>
      <c r="D248">
        <v>710</v>
      </c>
      <c r="E248">
        <v>721</v>
      </c>
      <c r="F248">
        <v>726</v>
      </c>
      <c r="G248">
        <v>736</v>
      </c>
      <c r="H248">
        <v>731</v>
      </c>
      <c r="I248">
        <v>722</v>
      </c>
      <c r="J248">
        <v>719</v>
      </c>
      <c r="K248">
        <v>722</v>
      </c>
      <c r="L248">
        <v>750</v>
      </c>
      <c r="M248">
        <v>759</v>
      </c>
      <c r="N248">
        <v>764</v>
      </c>
      <c r="O248" s="173">
        <f t="shared" si="56"/>
        <v>730.91666666666663</v>
      </c>
      <c r="P248" s="173">
        <f t="shared" ref="P248:P253" si="60">SUM(O248-O247)</f>
        <v>26.166666666666629</v>
      </c>
      <c r="Q248" s="177">
        <f t="shared" si="59"/>
        <v>3.7129005557526254E-2</v>
      </c>
    </row>
    <row r="249" spans="2:17" x14ac:dyDescent="0.2">
      <c r="B249" t="s">
        <v>317</v>
      </c>
      <c r="C249">
        <v>750</v>
      </c>
      <c r="D249">
        <v>743</v>
      </c>
      <c r="E249">
        <v>732</v>
      </c>
      <c r="F249">
        <v>728</v>
      </c>
      <c r="G249">
        <v>713</v>
      </c>
      <c r="H249">
        <v>774</v>
      </c>
      <c r="I249">
        <v>746</v>
      </c>
      <c r="J249">
        <v>760</v>
      </c>
      <c r="K249">
        <v>768</v>
      </c>
      <c r="L249">
        <v>783</v>
      </c>
      <c r="M249">
        <v>769</v>
      </c>
      <c r="N249">
        <v>766</v>
      </c>
      <c r="O249" s="173">
        <f t="shared" si="56"/>
        <v>752.66666666666663</v>
      </c>
      <c r="P249" s="173">
        <f t="shared" si="60"/>
        <v>21.75</v>
      </c>
      <c r="Q249" s="177">
        <f t="shared" si="59"/>
        <v>2.9757154258351386E-2</v>
      </c>
    </row>
    <row r="250" spans="2:17" x14ac:dyDescent="0.2">
      <c r="B250" t="s">
        <v>338</v>
      </c>
      <c r="C250">
        <v>793</v>
      </c>
      <c r="D250">
        <v>763</v>
      </c>
      <c r="E250">
        <v>771</v>
      </c>
      <c r="F250">
        <v>782</v>
      </c>
      <c r="G250">
        <v>756</v>
      </c>
      <c r="H250">
        <v>768</v>
      </c>
      <c r="I250">
        <v>763</v>
      </c>
      <c r="J250">
        <v>762</v>
      </c>
      <c r="K250">
        <v>773</v>
      </c>
      <c r="L250">
        <v>776</v>
      </c>
      <c r="M250">
        <v>743</v>
      </c>
      <c r="N250">
        <v>744</v>
      </c>
      <c r="O250" s="173">
        <f t="shared" si="56"/>
        <v>766.16666666666663</v>
      </c>
      <c r="P250" s="173">
        <f t="shared" si="60"/>
        <v>13.5</v>
      </c>
      <c r="Q250" s="177">
        <f t="shared" si="59"/>
        <v>1.7936226749335697E-2</v>
      </c>
    </row>
    <row r="251" spans="2:17" x14ac:dyDescent="0.2">
      <c r="B251" t="s">
        <v>411</v>
      </c>
      <c r="C251">
        <v>746</v>
      </c>
      <c r="D251">
        <v>738</v>
      </c>
      <c r="E251">
        <v>726</v>
      </c>
      <c r="F251">
        <v>723</v>
      </c>
      <c r="G251">
        <v>723</v>
      </c>
      <c r="H251">
        <v>711</v>
      </c>
      <c r="I251">
        <v>722</v>
      </c>
      <c r="J251">
        <v>715</v>
      </c>
      <c r="K251">
        <v>701</v>
      </c>
      <c r="L251">
        <v>696</v>
      </c>
      <c r="M251">
        <v>716</v>
      </c>
      <c r="N251">
        <v>722</v>
      </c>
      <c r="O251" s="173">
        <f t="shared" si="56"/>
        <v>719.91666666666663</v>
      </c>
      <c r="P251" s="173">
        <f t="shared" si="60"/>
        <v>-46.25</v>
      </c>
      <c r="Q251" s="177">
        <f t="shared" si="59"/>
        <v>-6.0365455731999133E-2</v>
      </c>
    </row>
    <row r="252" spans="2:17" x14ac:dyDescent="0.2">
      <c r="B252" t="s">
        <v>445</v>
      </c>
      <c r="C252">
        <v>720</v>
      </c>
      <c r="D252">
        <v>754</v>
      </c>
      <c r="E252">
        <v>702</v>
      </c>
      <c r="F252">
        <v>720</v>
      </c>
      <c r="G252">
        <v>705</v>
      </c>
      <c r="H252">
        <v>715</v>
      </c>
      <c r="I252">
        <v>712</v>
      </c>
      <c r="J252">
        <v>720</v>
      </c>
      <c r="K252">
        <v>712</v>
      </c>
      <c r="L252">
        <v>709</v>
      </c>
      <c r="M252">
        <v>704</v>
      </c>
      <c r="N252">
        <v>720</v>
      </c>
      <c r="O252" s="173">
        <f t="shared" si="56"/>
        <v>716.08333333333337</v>
      </c>
      <c r="P252" s="173">
        <f t="shared" si="60"/>
        <v>-3.8333333333332575</v>
      </c>
      <c r="Q252" s="177">
        <f t="shared" si="59"/>
        <v>-5.3246903576801823E-3</v>
      </c>
    </row>
    <row r="253" spans="2:17" x14ac:dyDescent="0.2">
      <c r="B253" t="s">
        <v>510</v>
      </c>
      <c r="C253">
        <v>726</v>
      </c>
      <c r="D253">
        <v>712</v>
      </c>
      <c r="E253">
        <v>724</v>
      </c>
      <c r="F253">
        <v>708</v>
      </c>
      <c r="G253">
        <v>701</v>
      </c>
      <c r="H253">
        <v>715</v>
      </c>
      <c r="I253">
        <v>708</v>
      </c>
      <c r="J253">
        <v>702</v>
      </c>
      <c r="K253">
        <v>695</v>
      </c>
      <c r="L253">
        <v>713</v>
      </c>
      <c r="M253">
        <v>720</v>
      </c>
      <c r="N253">
        <v>732</v>
      </c>
      <c r="O253" s="173">
        <f t="shared" si="56"/>
        <v>713</v>
      </c>
      <c r="P253" s="173">
        <f t="shared" si="60"/>
        <v>-3.0833333333333712</v>
      </c>
      <c r="Q253" s="177">
        <f t="shared" si="59"/>
        <v>-4.3058303270104101E-3</v>
      </c>
    </row>
    <row r="254" spans="2:17" x14ac:dyDescent="0.2">
      <c r="B254" t="s">
        <v>546</v>
      </c>
      <c r="C254">
        <v>712</v>
      </c>
      <c r="D254">
        <v>705</v>
      </c>
      <c r="E254">
        <v>689</v>
      </c>
      <c r="F254">
        <v>668</v>
      </c>
      <c r="G254">
        <v>662</v>
      </c>
      <c r="H254">
        <v>644</v>
      </c>
      <c r="I254">
        <v>641</v>
      </c>
      <c r="J254">
        <v>629</v>
      </c>
      <c r="K254">
        <v>652</v>
      </c>
      <c r="L254">
        <v>643</v>
      </c>
      <c r="M254">
        <v>652</v>
      </c>
      <c r="N254">
        <v>662</v>
      </c>
      <c r="O254" s="173">
        <f t="shared" si="56"/>
        <v>663.25</v>
      </c>
      <c r="P254" s="173">
        <f>SUM(O254-O253)</f>
        <v>-49.75</v>
      </c>
      <c r="Q254" s="177">
        <f>SUM(P254/O253)</f>
        <v>-6.9775596072931281E-2</v>
      </c>
    </row>
    <row r="255" spans="2:17" x14ac:dyDescent="0.2">
      <c r="B255" t="s">
        <v>547</v>
      </c>
      <c r="C255">
        <v>637</v>
      </c>
      <c r="D255">
        <v>640</v>
      </c>
      <c r="E255">
        <v>638</v>
      </c>
      <c r="F255">
        <v>629</v>
      </c>
      <c r="G255">
        <v>627</v>
      </c>
      <c r="H255">
        <v>647</v>
      </c>
      <c r="I255">
        <v>651</v>
      </c>
      <c r="J255">
        <v>655</v>
      </c>
      <c r="K255">
        <v>640</v>
      </c>
      <c r="L255">
        <v>632</v>
      </c>
      <c r="M255">
        <v>641</v>
      </c>
      <c r="N255">
        <v>644</v>
      </c>
      <c r="O255" s="173">
        <f t="shared" si="56"/>
        <v>640.08333333333337</v>
      </c>
      <c r="P255" s="173">
        <f>SUM(O255-O254)</f>
        <v>-23.166666666666629</v>
      </c>
      <c r="Q255" s="177">
        <f>SUM(P255/O254)</f>
        <v>-3.4929011182309282E-2</v>
      </c>
    </row>
    <row r="256" spans="2:17" x14ac:dyDescent="0.2">
      <c r="B256" t="s">
        <v>817</v>
      </c>
      <c r="C256">
        <v>644</v>
      </c>
      <c r="D256">
        <v>637</v>
      </c>
      <c r="E256">
        <v>610</v>
      </c>
      <c r="F256">
        <v>579</v>
      </c>
      <c r="G256">
        <v>646</v>
      </c>
      <c r="H256">
        <v>640</v>
      </c>
      <c r="I256">
        <v>640</v>
      </c>
      <c r="J256">
        <v>610</v>
      </c>
      <c r="K256">
        <v>588</v>
      </c>
      <c r="L256">
        <v>582</v>
      </c>
      <c r="M256">
        <v>580</v>
      </c>
      <c r="N256">
        <v>582</v>
      </c>
      <c r="O256" s="173">
        <f t="shared" si="56"/>
        <v>611.5</v>
      </c>
      <c r="P256" s="173">
        <f>SUM(O256-O255)</f>
        <v>-28.583333333333371</v>
      </c>
      <c r="Q256" s="177">
        <f>SUM(P256/O255)</f>
        <v>-4.4655643796380734E-2</v>
      </c>
    </row>
    <row r="257" spans="1:18" x14ac:dyDescent="0.2">
      <c r="B257" t="s">
        <v>818</v>
      </c>
      <c r="C257">
        <v>581</v>
      </c>
      <c r="D257">
        <v>542</v>
      </c>
      <c r="E257">
        <v>514</v>
      </c>
      <c r="F257">
        <v>511</v>
      </c>
      <c r="G257">
        <v>493</v>
      </c>
      <c r="H257">
        <v>490</v>
      </c>
      <c r="I257">
        <v>475</v>
      </c>
      <c r="J257">
        <v>454</v>
      </c>
      <c r="K257">
        <v>449</v>
      </c>
      <c r="L257">
        <v>436</v>
      </c>
      <c r="M257">
        <v>443</v>
      </c>
      <c r="N257">
        <v>406</v>
      </c>
      <c r="O257" s="173">
        <f t="shared" si="56"/>
        <v>482.83333333333331</v>
      </c>
      <c r="P257" s="173">
        <f>SUM(O257-O256)</f>
        <v>-128.66666666666669</v>
      </c>
      <c r="Q257" s="177">
        <f>SUM(P257/O256)</f>
        <v>-0.2104115562823658</v>
      </c>
    </row>
    <row r="258" spans="1:18" x14ac:dyDescent="0.2">
      <c r="B258" t="s">
        <v>899</v>
      </c>
      <c r="C258">
        <v>394</v>
      </c>
      <c r="D258">
        <v>390</v>
      </c>
      <c r="E258">
        <v>412</v>
      </c>
      <c r="F258">
        <v>393</v>
      </c>
      <c r="O258" s="173"/>
      <c r="P258" s="173"/>
      <c r="Q258" s="177"/>
    </row>
    <row r="259" spans="1:18" x14ac:dyDescent="0.2">
      <c r="A259" s="520"/>
      <c r="B259" s="520"/>
      <c r="C259" s="520"/>
      <c r="D259" s="520"/>
      <c r="E259" s="520"/>
      <c r="F259" s="520"/>
      <c r="G259" s="520"/>
      <c r="H259" s="520"/>
      <c r="I259" s="520"/>
      <c r="J259" s="520"/>
      <c r="K259" s="520"/>
      <c r="L259" s="520"/>
      <c r="M259" s="520"/>
      <c r="N259" s="520"/>
      <c r="O259" s="520"/>
      <c r="P259" s="520"/>
      <c r="Q259" s="520"/>
    </row>
    <row r="260" spans="1:18" ht="25.5" x14ac:dyDescent="0.2">
      <c r="A260" s="175" t="s">
        <v>424</v>
      </c>
      <c r="B260" s="176" t="s">
        <v>392</v>
      </c>
      <c r="C260" s="178" t="s">
        <v>393</v>
      </c>
      <c r="D260" s="178" t="s">
        <v>394</v>
      </c>
      <c r="E260" s="178" t="s">
        <v>395</v>
      </c>
      <c r="F260" s="178" t="s">
        <v>396</v>
      </c>
      <c r="G260" s="178" t="s">
        <v>397</v>
      </c>
      <c r="H260" s="178" t="s">
        <v>398</v>
      </c>
      <c r="I260" s="178" t="s">
        <v>399</v>
      </c>
      <c r="J260" s="178" t="s">
        <v>400</v>
      </c>
      <c r="K260" s="178" t="s">
        <v>401</v>
      </c>
      <c r="L260" s="178" t="s">
        <v>402</v>
      </c>
      <c r="M260" s="178" t="s">
        <v>403</v>
      </c>
      <c r="N260" s="178" t="s">
        <v>404</v>
      </c>
    </row>
    <row r="261" spans="1:18" x14ac:dyDescent="0.2">
      <c r="B261" t="s">
        <v>408</v>
      </c>
      <c r="C261">
        <v>51</v>
      </c>
      <c r="D261">
        <v>44</v>
      </c>
      <c r="E261">
        <v>43</v>
      </c>
      <c r="F261">
        <v>39</v>
      </c>
      <c r="G261">
        <v>39</v>
      </c>
      <c r="H261">
        <v>39</v>
      </c>
      <c r="I261">
        <v>43</v>
      </c>
      <c r="J261">
        <v>41</v>
      </c>
      <c r="K261">
        <v>42</v>
      </c>
      <c r="L261">
        <v>42</v>
      </c>
      <c r="M261">
        <v>43</v>
      </c>
      <c r="N261">
        <v>40</v>
      </c>
      <c r="O261" s="173">
        <f t="shared" ref="O261:O279" si="61">SUM(C261:N261)/12</f>
        <v>42.166666666666664</v>
      </c>
      <c r="P261" s="173"/>
    </row>
    <row r="262" spans="1:18" x14ac:dyDescent="0.2">
      <c r="B262" t="s">
        <v>409</v>
      </c>
      <c r="C262">
        <v>43</v>
      </c>
      <c r="D262">
        <v>47</v>
      </c>
      <c r="E262">
        <v>47</v>
      </c>
      <c r="F262">
        <v>51</v>
      </c>
      <c r="G262">
        <v>46</v>
      </c>
      <c r="H262">
        <v>44</v>
      </c>
      <c r="I262">
        <v>48</v>
      </c>
      <c r="J262">
        <v>41</v>
      </c>
      <c r="K262">
        <v>47</v>
      </c>
      <c r="L262">
        <v>44</v>
      </c>
      <c r="M262">
        <v>43</v>
      </c>
      <c r="N262">
        <v>46</v>
      </c>
      <c r="O262" s="173">
        <f t="shared" si="61"/>
        <v>45.583333333333336</v>
      </c>
      <c r="P262" s="173">
        <f t="shared" ref="P262:P269" si="62">SUM(O262-O261)</f>
        <v>3.4166666666666714</v>
      </c>
      <c r="Q262" s="177">
        <f t="shared" ref="Q262:Q268" si="63">SUM(P262/O261)</f>
        <v>8.1027667984189838E-2</v>
      </c>
    </row>
    <row r="263" spans="1:18" x14ac:dyDescent="0.2">
      <c r="B263" t="s">
        <v>410</v>
      </c>
      <c r="C263">
        <v>45</v>
      </c>
      <c r="D263">
        <v>49</v>
      </c>
      <c r="E263">
        <v>48</v>
      </c>
      <c r="F263">
        <v>51</v>
      </c>
      <c r="G263">
        <v>51</v>
      </c>
      <c r="H263">
        <v>46</v>
      </c>
      <c r="I263">
        <v>49</v>
      </c>
      <c r="J263">
        <v>45</v>
      </c>
      <c r="K263">
        <v>46</v>
      </c>
      <c r="L263">
        <v>47</v>
      </c>
      <c r="M263">
        <v>48</v>
      </c>
      <c r="N263">
        <v>49</v>
      </c>
      <c r="O263" s="173">
        <f t="shared" si="61"/>
        <v>47.833333333333336</v>
      </c>
      <c r="P263" s="173">
        <f t="shared" si="62"/>
        <v>2.25</v>
      </c>
      <c r="Q263" s="177">
        <f t="shared" si="63"/>
        <v>4.9360146252285186E-2</v>
      </c>
      <c r="R263" s="177"/>
    </row>
    <row r="264" spans="1:18" x14ac:dyDescent="0.2">
      <c r="B264" t="s">
        <v>244</v>
      </c>
      <c r="C264">
        <v>35</v>
      </c>
      <c r="D264">
        <v>35</v>
      </c>
      <c r="E264">
        <v>36</v>
      </c>
      <c r="F264">
        <v>39</v>
      </c>
      <c r="G264">
        <v>39</v>
      </c>
      <c r="H264">
        <v>43</v>
      </c>
      <c r="I264">
        <v>47</v>
      </c>
      <c r="J264">
        <v>45</v>
      </c>
      <c r="K264">
        <v>47</v>
      </c>
      <c r="L264">
        <v>51</v>
      </c>
      <c r="M264">
        <v>47</v>
      </c>
      <c r="N264">
        <v>45</v>
      </c>
      <c r="O264" s="173">
        <f t="shared" si="61"/>
        <v>42.416666666666664</v>
      </c>
      <c r="P264" s="173">
        <f t="shared" si="62"/>
        <v>-5.4166666666666714</v>
      </c>
      <c r="Q264" s="177">
        <f t="shared" si="63"/>
        <v>-0.113240418118467</v>
      </c>
    </row>
    <row r="265" spans="1:18" x14ac:dyDescent="0.2">
      <c r="B265" t="s">
        <v>243</v>
      </c>
      <c r="C265">
        <v>55</v>
      </c>
      <c r="D265">
        <v>51</v>
      </c>
      <c r="E265">
        <v>49</v>
      </c>
      <c r="F265">
        <v>51</v>
      </c>
      <c r="G265">
        <v>52</v>
      </c>
      <c r="H265">
        <v>54</v>
      </c>
      <c r="I265">
        <v>55</v>
      </c>
      <c r="J265">
        <v>55</v>
      </c>
      <c r="K265">
        <v>42</v>
      </c>
      <c r="L265">
        <v>38</v>
      </c>
      <c r="M265">
        <v>85</v>
      </c>
      <c r="N265">
        <v>81</v>
      </c>
      <c r="O265" s="173">
        <f t="shared" si="61"/>
        <v>55.666666666666664</v>
      </c>
      <c r="P265" s="173">
        <f t="shared" si="62"/>
        <v>13.25</v>
      </c>
      <c r="Q265" s="177">
        <f t="shared" si="63"/>
        <v>0.31237721021611004</v>
      </c>
    </row>
    <row r="266" spans="1:18" x14ac:dyDescent="0.2">
      <c r="B266" t="s">
        <v>264</v>
      </c>
      <c r="C266">
        <v>81</v>
      </c>
      <c r="D266">
        <v>81</v>
      </c>
      <c r="E266">
        <v>74</v>
      </c>
      <c r="F266">
        <v>79</v>
      </c>
      <c r="G266">
        <v>77</v>
      </c>
      <c r="H266">
        <v>77</v>
      </c>
      <c r="I266">
        <v>74</v>
      </c>
      <c r="J266">
        <v>74</v>
      </c>
      <c r="K266">
        <v>74</v>
      </c>
      <c r="L266">
        <v>75</v>
      </c>
      <c r="M266">
        <v>75</v>
      </c>
      <c r="N266">
        <v>76</v>
      </c>
      <c r="O266" s="173">
        <f t="shared" si="61"/>
        <v>76.416666666666671</v>
      </c>
      <c r="P266" s="173">
        <f t="shared" si="62"/>
        <v>20.750000000000007</v>
      </c>
      <c r="Q266" s="177">
        <f t="shared" si="63"/>
        <v>0.37275449101796421</v>
      </c>
    </row>
    <row r="267" spans="1:18" x14ac:dyDescent="0.2">
      <c r="B267" t="s">
        <v>274</v>
      </c>
      <c r="C267">
        <v>78</v>
      </c>
      <c r="D267">
        <v>76</v>
      </c>
      <c r="E267">
        <v>80</v>
      </c>
      <c r="F267">
        <v>81</v>
      </c>
      <c r="G267">
        <v>77</v>
      </c>
      <c r="H267">
        <v>76</v>
      </c>
      <c r="I267">
        <v>74</v>
      </c>
      <c r="J267">
        <v>76</v>
      </c>
      <c r="K267">
        <v>71</v>
      </c>
      <c r="L267">
        <v>71</v>
      </c>
      <c r="M267">
        <v>74</v>
      </c>
      <c r="N267">
        <v>75</v>
      </c>
      <c r="O267" s="173">
        <f t="shared" si="61"/>
        <v>75.75</v>
      </c>
      <c r="P267" s="173">
        <f t="shared" si="62"/>
        <v>-0.6666666666666714</v>
      </c>
      <c r="Q267" s="177">
        <f t="shared" si="63"/>
        <v>-8.7241003271538234E-3</v>
      </c>
    </row>
    <row r="268" spans="1:18" x14ac:dyDescent="0.2">
      <c r="B268" t="s">
        <v>277</v>
      </c>
      <c r="C268">
        <v>75</v>
      </c>
      <c r="D268">
        <v>74</v>
      </c>
      <c r="E268">
        <v>73</v>
      </c>
      <c r="F268">
        <v>72</v>
      </c>
      <c r="G268">
        <v>75</v>
      </c>
      <c r="H268">
        <v>74</v>
      </c>
      <c r="I268">
        <v>73</v>
      </c>
      <c r="J268">
        <v>73</v>
      </c>
      <c r="K268">
        <v>71</v>
      </c>
      <c r="L268">
        <v>84</v>
      </c>
      <c r="M268">
        <v>79</v>
      </c>
      <c r="N268">
        <v>74</v>
      </c>
      <c r="O268" s="173">
        <f t="shared" si="61"/>
        <v>74.75</v>
      </c>
      <c r="P268" s="173">
        <f t="shared" si="62"/>
        <v>-1</v>
      </c>
      <c r="Q268" s="177">
        <f t="shared" si="63"/>
        <v>-1.3201320132013201E-2</v>
      </c>
    </row>
    <row r="269" spans="1:18" x14ac:dyDescent="0.2">
      <c r="B269" t="s">
        <v>278</v>
      </c>
      <c r="C269">
        <v>70</v>
      </c>
      <c r="D269">
        <v>68</v>
      </c>
      <c r="E269">
        <v>80</v>
      </c>
      <c r="F269">
        <v>73</v>
      </c>
      <c r="G269">
        <v>82</v>
      </c>
      <c r="H269">
        <v>81</v>
      </c>
      <c r="I269">
        <v>83</v>
      </c>
      <c r="J269">
        <v>80</v>
      </c>
      <c r="K269">
        <v>78</v>
      </c>
      <c r="L269">
        <v>78</v>
      </c>
      <c r="M269">
        <v>78</v>
      </c>
      <c r="N269">
        <v>86</v>
      </c>
      <c r="O269" s="173">
        <f t="shared" si="61"/>
        <v>78.083333333333329</v>
      </c>
      <c r="P269" s="173">
        <f t="shared" si="62"/>
        <v>3.3333333333333286</v>
      </c>
      <c r="Q269" s="177">
        <f t="shared" ref="Q269:Q275" si="64">SUM(P269/O268)</f>
        <v>4.4593088071348874E-2</v>
      </c>
    </row>
    <row r="270" spans="1:18" x14ac:dyDescent="0.2">
      <c r="B270" t="s">
        <v>279</v>
      </c>
      <c r="C270">
        <v>75</v>
      </c>
      <c r="D270">
        <v>74</v>
      </c>
      <c r="E270">
        <v>79</v>
      </c>
      <c r="F270">
        <v>77</v>
      </c>
      <c r="G270">
        <v>75</v>
      </c>
      <c r="H270">
        <v>66</v>
      </c>
      <c r="I270">
        <v>64</v>
      </c>
      <c r="J270">
        <v>64</v>
      </c>
      <c r="K270">
        <v>47</v>
      </c>
      <c r="L270">
        <v>47</v>
      </c>
      <c r="M270">
        <v>45</v>
      </c>
      <c r="N270">
        <v>47</v>
      </c>
      <c r="O270" s="173">
        <f t="shared" si="61"/>
        <v>63.333333333333336</v>
      </c>
      <c r="P270" s="173">
        <f t="shared" ref="P270:P275" si="65">SUM(O270-O269)</f>
        <v>-14.749999999999993</v>
      </c>
      <c r="Q270" s="177">
        <f t="shared" si="64"/>
        <v>-0.18890074706510132</v>
      </c>
    </row>
    <row r="271" spans="1:18" x14ac:dyDescent="0.2">
      <c r="B271" t="s">
        <v>317</v>
      </c>
      <c r="C271">
        <v>42</v>
      </c>
      <c r="D271">
        <v>43</v>
      </c>
      <c r="E271">
        <v>41</v>
      </c>
      <c r="F271">
        <v>41</v>
      </c>
      <c r="G271">
        <v>38</v>
      </c>
      <c r="H271">
        <v>54</v>
      </c>
      <c r="I271">
        <v>60</v>
      </c>
      <c r="J271">
        <v>53</v>
      </c>
      <c r="K271">
        <v>57</v>
      </c>
      <c r="L271">
        <v>45</v>
      </c>
      <c r="M271">
        <v>48</v>
      </c>
      <c r="N271">
        <v>49</v>
      </c>
      <c r="O271" s="173">
        <f t="shared" si="61"/>
        <v>47.583333333333336</v>
      </c>
      <c r="P271" s="173">
        <f t="shared" si="65"/>
        <v>-15.75</v>
      </c>
      <c r="Q271" s="177">
        <f t="shared" si="64"/>
        <v>-0.24868421052631579</v>
      </c>
    </row>
    <row r="272" spans="1:18" x14ac:dyDescent="0.2">
      <c r="B272" t="s">
        <v>338</v>
      </c>
      <c r="C272">
        <v>49</v>
      </c>
      <c r="D272">
        <v>51</v>
      </c>
      <c r="E272">
        <v>45</v>
      </c>
      <c r="F272">
        <v>54</v>
      </c>
      <c r="G272">
        <v>56</v>
      </c>
      <c r="H272">
        <v>56</v>
      </c>
      <c r="I272">
        <v>53</v>
      </c>
      <c r="J272">
        <v>50</v>
      </c>
      <c r="K272">
        <v>47</v>
      </c>
      <c r="L272">
        <v>44</v>
      </c>
      <c r="M272">
        <v>44</v>
      </c>
      <c r="N272">
        <v>52</v>
      </c>
      <c r="O272" s="173">
        <f t="shared" si="61"/>
        <v>50.083333333333336</v>
      </c>
      <c r="P272" s="173">
        <f>SUM(O272-O271)</f>
        <v>2.5</v>
      </c>
      <c r="Q272" s="177">
        <f>SUM(P272/O271)</f>
        <v>5.2539404553415062E-2</v>
      </c>
    </row>
    <row r="273" spans="1:17" ht="12.75" customHeight="1" x14ac:dyDescent="0.2">
      <c r="B273" t="s">
        <v>411</v>
      </c>
      <c r="C273">
        <v>54</v>
      </c>
      <c r="D273">
        <v>54</v>
      </c>
      <c r="E273">
        <v>51</v>
      </c>
      <c r="F273">
        <v>57</v>
      </c>
      <c r="G273">
        <v>56</v>
      </c>
      <c r="H273">
        <v>64</v>
      </c>
      <c r="I273">
        <v>66</v>
      </c>
      <c r="J273">
        <v>65</v>
      </c>
      <c r="K273">
        <v>65</v>
      </c>
      <c r="L273">
        <v>65</v>
      </c>
      <c r="M273">
        <v>72</v>
      </c>
      <c r="N273">
        <v>63</v>
      </c>
      <c r="O273" s="173">
        <f t="shared" si="61"/>
        <v>61</v>
      </c>
      <c r="P273" s="173">
        <f t="shared" si="65"/>
        <v>10.916666666666664</v>
      </c>
      <c r="Q273" s="177">
        <f t="shared" si="64"/>
        <v>0.21797004991680527</v>
      </c>
    </row>
    <row r="274" spans="1:17" ht="12.75" customHeight="1" x14ac:dyDescent="0.2">
      <c r="B274" t="s">
        <v>445</v>
      </c>
      <c r="C274">
        <v>67</v>
      </c>
      <c r="D274">
        <v>65</v>
      </c>
      <c r="E274">
        <v>65</v>
      </c>
      <c r="F274">
        <v>61</v>
      </c>
      <c r="G274">
        <v>59</v>
      </c>
      <c r="H274">
        <v>58</v>
      </c>
      <c r="I274">
        <v>53</v>
      </c>
      <c r="J274">
        <v>56</v>
      </c>
      <c r="K274">
        <v>57</v>
      </c>
      <c r="L274">
        <v>57</v>
      </c>
      <c r="M274">
        <v>52</v>
      </c>
      <c r="N274">
        <v>58</v>
      </c>
      <c r="O274" s="173">
        <f t="shared" si="61"/>
        <v>59</v>
      </c>
      <c r="P274" s="173">
        <f t="shared" si="65"/>
        <v>-2</v>
      </c>
      <c r="Q274" s="177">
        <f t="shared" si="64"/>
        <v>-3.2786885245901641E-2</v>
      </c>
    </row>
    <row r="275" spans="1:17" x14ac:dyDescent="0.2">
      <c r="B275" t="s">
        <v>510</v>
      </c>
      <c r="C275">
        <v>55</v>
      </c>
      <c r="D275">
        <v>43</v>
      </c>
      <c r="E275">
        <v>45</v>
      </c>
      <c r="F275">
        <v>45</v>
      </c>
      <c r="G275">
        <v>40</v>
      </c>
      <c r="H275">
        <v>45</v>
      </c>
      <c r="I275">
        <v>45</v>
      </c>
      <c r="J275">
        <v>49</v>
      </c>
      <c r="K275">
        <v>53</v>
      </c>
      <c r="L275">
        <v>50</v>
      </c>
      <c r="M275">
        <v>51</v>
      </c>
      <c r="N275">
        <v>50</v>
      </c>
      <c r="O275" s="173">
        <f t="shared" si="61"/>
        <v>47.583333333333336</v>
      </c>
      <c r="P275" s="173">
        <f t="shared" si="65"/>
        <v>-11.416666666666664</v>
      </c>
      <c r="Q275" s="177">
        <f t="shared" si="64"/>
        <v>-0.19350282485875703</v>
      </c>
    </row>
    <row r="276" spans="1:17" x14ac:dyDescent="0.2">
      <c r="B276" t="s">
        <v>546</v>
      </c>
      <c r="C276">
        <v>49</v>
      </c>
      <c r="D276">
        <v>44</v>
      </c>
      <c r="E276">
        <v>44</v>
      </c>
      <c r="F276">
        <v>47</v>
      </c>
      <c r="G276">
        <v>43</v>
      </c>
      <c r="H276">
        <v>42</v>
      </c>
      <c r="I276">
        <v>44</v>
      </c>
      <c r="J276">
        <v>47</v>
      </c>
      <c r="K276">
        <v>38</v>
      </c>
      <c r="L276">
        <v>13</v>
      </c>
      <c r="M276">
        <v>13</v>
      </c>
      <c r="N276">
        <v>11</v>
      </c>
      <c r="O276" s="173">
        <f t="shared" si="61"/>
        <v>36.25</v>
      </c>
      <c r="P276" s="173">
        <f>SUM(O276-O275)</f>
        <v>-11.333333333333336</v>
      </c>
      <c r="Q276" s="177">
        <f>SUM(P276/O275)</f>
        <v>-0.23817863397548164</v>
      </c>
    </row>
    <row r="277" spans="1:17" x14ac:dyDescent="0.2">
      <c r="B277" t="s">
        <v>547</v>
      </c>
      <c r="C277">
        <v>11</v>
      </c>
      <c r="D277">
        <v>11</v>
      </c>
      <c r="E277">
        <v>10</v>
      </c>
      <c r="F277">
        <v>10</v>
      </c>
      <c r="G277">
        <v>11</v>
      </c>
      <c r="H277">
        <v>11</v>
      </c>
      <c r="I277">
        <v>10</v>
      </c>
      <c r="J277">
        <v>8</v>
      </c>
      <c r="K277">
        <v>8</v>
      </c>
      <c r="L277">
        <v>9</v>
      </c>
      <c r="M277">
        <v>58</v>
      </c>
      <c r="N277">
        <v>58</v>
      </c>
      <c r="O277" s="173">
        <f t="shared" si="61"/>
        <v>17.916666666666668</v>
      </c>
      <c r="P277" s="173">
        <f>SUM(O277-O276)</f>
        <v>-18.333333333333332</v>
      </c>
      <c r="Q277" s="177">
        <f>SUM(P277/O276)</f>
        <v>-0.50574712643678155</v>
      </c>
    </row>
    <row r="278" spans="1:17" x14ac:dyDescent="0.2">
      <c r="B278" t="s">
        <v>817</v>
      </c>
      <c r="C278">
        <v>60</v>
      </c>
      <c r="D278">
        <v>55</v>
      </c>
      <c r="E278">
        <v>57</v>
      </c>
      <c r="F278">
        <v>58</v>
      </c>
      <c r="G278">
        <v>55</v>
      </c>
      <c r="H278">
        <v>59</v>
      </c>
      <c r="I278">
        <v>64</v>
      </c>
      <c r="J278">
        <v>57</v>
      </c>
      <c r="K278">
        <v>57</v>
      </c>
      <c r="L278">
        <v>58</v>
      </c>
      <c r="M278">
        <v>61</v>
      </c>
      <c r="N278">
        <v>62</v>
      </c>
      <c r="O278" s="173">
        <f t="shared" si="61"/>
        <v>58.583333333333336</v>
      </c>
      <c r="P278" s="173">
        <f>SUM(O278-O277)</f>
        <v>40.666666666666671</v>
      </c>
      <c r="Q278" s="177">
        <f>SUM(P278/O277)</f>
        <v>2.2697674418604654</v>
      </c>
    </row>
    <row r="279" spans="1:17" x14ac:dyDescent="0.2">
      <c r="B279" t="s">
        <v>818</v>
      </c>
      <c r="C279">
        <v>56</v>
      </c>
      <c r="D279">
        <v>55</v>
      </c>
      <c r="E279">
        <v>57</v>
      </c>
      <c r="F279">
        <v>55</v>
      </c>
      <c r="G279">
        <v>55</v>
      </c>
      <c r="H279">
        <v>48</v>
      </c>
      <c r="I279">
        <v>60</v>
      </c>
      <c r="J279">
        <v>64</v>
      </c>
      <c r="K279">
        <v>68</v>
      </c>
      <c r="L279">
        <v>66</v>
      </c>
      <c r="M279">
        <v>54</v>
      </c>
      <c r="N279">
        <v>53</v>
      </c>
      <c r="O279" s="173">
        <f t="shared" si="61"/>
        <v>57.583333333333336</v>
      </c>
      <c r="P279" s="173">
        <f>SUM(O279-O278)</f>
        <v>-1</v>
      </c>
      <c r="Q279" s="177">
        <f>SUM(P279/O278)</f>
        <v>-1.7069701280227594E-2</v>
      </c>
    </row>
    <row r="280" spans="1:17" x14ac:dyDescent="0.2">
      <c r="B280" t="s">
        <v>899</v>
      </c>
      <c r="C280">
        <v>40</v>
      </c>
      <c r="D280">
        <v>35</v>
      </c>
      <c r="E280">
        <v>39</v>
      </c>
      <c r="F280">
        <v>47</v>
      </c>
      <c r="O280" s="173"/>
      <c r="P280" s="173"/>
      <c r="Q280" s="177"/>
    </row>
    <row r="281" spans="1:17" x14ac:dyDescent="0.2">
      <c r="A281" s="576" t="s">
        <v>425</v>
      </c>
      <c r="B281" s="178" t="s">
        <v>392</v>
      </c>
      <c r="C281" s="178" t="s">
        <v>393</v>
      </c>
      <c r="D281" s="178" t="s">
        <v>394</v>
      </c>
      <c r="E281" s="178" t="s">
        <v>395</v>
      </c>
      <c r="F281" s="178" t="s">
        <v>396</v>
      </c>
      <c r="G281" s="178" t="s">
        <v>397</v>
      </c>
      <c r="H281" s="178" t="s">
        <v>398</v>
      </c>
      <c r="I281" s="178" t="s">
        <v>399</v>
      </c>
      <c r="J281" s="178" t="s">
        <v>400</v>
      </c>
      <c r="K281" s="178" t="s">
        <v>401</v>
      </c>
      <c r="L281" s="178" t="s">
        <v>402</v>
      </c>
      <c r="M281" s="178" t="s">
        <v>403</v>
      </c>
      <c r="N281" s="178" t="s">
        <v>404</v>
      </c>
    </row>
    <row r="282" spans="1:17" x14ac:dyDescent="0.2">
      <c r="B282" t="s">
        <v>317</v>
      </c>
      <c r="H282">
        <v>120</v>
      </c>
      <c r="I282">
        <v>96</v>
      </c>
      <c r="J282">
        <v>123</v>
      </c>
      <c r="K282">
        <v>105</v>
      </c>
      <c r="L282">
        <v>122</v>
      </c>
      <c r="M282">
        <v>118</v>
      </c>
      <c r="N282">
        <v>118</v>
      </c>
      <c r="O282" s="173">
        <f>SUM(C282:N282)/7</f>
        <v>114.57142857142857</v>
      </c>
      <c r="P282" s="173"/>
      <c r="Q282" s="177"/>
    </row>
    <row r="283" spans="1:17" x14ac:dyDescent="0.2">
      <c r="B283" t="s">
        <v>338</v>
      </c>
      <c r="C283">
        <v>108</v>
      </c>
      <c r="D283">
        <v>110</v>
      </c>
      <c r="E283">
        <v>105</v>
      </c>
      <c r="F283">
        <v>102</v>
      </c>
      <c r="G283">
        <v>121</v>
      </c>
      <c r="H283">
        <v>133</v>
      </c>
      <c r="I283">
        <v>137</v>
      </c>
      <c r="J283">
        <v>129</v>
      </c>
      <c r="K283">
        <v>137</v>
      </c>
      <c r="L283">
        <v>140</v>
      </c>
      <c r="M283">
        <v>134</v>
      </c>
      <c r="N283">
        <v>128</v>
      </c>
      <c r="O283" s="173">
        <f t="shared" ref="O283:O290" si="66">SUM(C283:N283)/12</f>
        <v>123.66666666666667</v>
      </c>
      <c r="P283" s="173">
        <f t="shared" ref="P283:P288" si="67">SUM(O283-O282)</f>
        <v>9.095238095238102</v>
      </c>
      <c r="Q283" s="177">
        <f t="shared" ref="Q283:Q288" si="68">SUM(P283/O282)</f>
        <v>7.9384871155444778E-2</v>
      </c>
    </row>
    <row r="284" spans="1:17" x14ac:dyDescent="0.2">
      <c r="B284" t="s">
        <v>411</v>
      </c>
      <c r="C284">
        <v>109</v>
      </c>
      <c r="D284">
        <v>111</v>
      </c>
      <c r="E284">
        <v>117</v>
      </c>
      <c r="F284">
        <v>117</v>
      </c>
      <c r="G284">
        <v>122</v>
      </c>
      <c r="H284">
        <v>122</v>
      </c>
      <c r="I284">
        <v>140</v>
      </c>
      <c r="J284">
        <v>138</v>
      </c>
      <c r="K284">
        <v>138</v>
      </c>
      <c r="L284">
        <v>107</v>
      </c>
      <c r="M284">
        <v>109</v>
      </c>
      <c r="N284">
        <v>128</v>
      </c>
      <c r="O284" s="173">
        <f t="shared" si="66"/>
        <v>121.5</v>
      </c>
      <c r="P284" s="173">
        <f t="shared" si="67"/>
        <v>-2.1666666666666714</v>
      </c>
      <c r="Q284" s="177">
        <f t="shared" si="68"/>
        <v>-1.7520215633423219E-2</v>
      </c>
    </row>
    <row r="285" spans="1:17" x14ac:dyDescent="0.2">
      <c r="B285" t="s">
        <v>445</v>
      </c>
      <c r="C285">
        <v>109</v>
      </c>
      <c r="D285">
        <v>116</v>
      </c>
      <c r="E285">
        <v>125</v>
      </c>
      <c r="F285">
        <v>113</v>
      </c>
      <c r="G285">
        <v>99</v>
      </c>
      <c r="H285">
        <v>98</v>
      </c>
      <c r="I285">
        <v>107</v>
      </c>
      <c r="J285">
        <v>113</v>
      </c>
      <c r="K285">
        <v>118</v>
      </c>
      <c r="L285">
        <v>105</v>
      </c>
      <c r="M285">
        <v>107</v>
      </c>
      <c r="N285">
        <v>110</v>
      </c>
      <c r="O285" s="173">
        <f t="shared" si="66"/>
        <v>110</v>
      </c>
      <c r="P285" s="173">
        <f t="shared" si="67"/>
        <v>-11.5</v>
      </c>
      <c r="Q285" s="177">
        <f t="shared" si="68"/>
        <v>-9.4650205761316872E-2</v>
      </c>
    </row>
    <row r="286" spans="1:17" x14ac:dyDescent="0.2">
      <c r="B286" t="s">
        <v>510</v>
      </c>
      <c r="C286">
        <v>111</v>
      </c>
      <c r="D286">
        <v>102</v>
      </c>
      <c r="E286">
        <v>122</v>
      </c>
      <c r="F286">
        <v>144</v>
      </c>
      <c r="G286">
        <v>154</v>
      </c>
      <c r="H286">
        <v>164</v>
      </c>
      <c r="I286">
        <v>164</v>
      </c>
      <c r="J286">
        <v>169</v>
      </c>
      <c r="K286">
        <v>164</v>
      </c>
      <c r="L286">
        <v>165</v>
      </c>
      <c r="M286">
        <v>161</v>
      </c>
      <c r="N286">
        <v>142</v>
      </c>
      <c r="O286" s="173">
        <f t="shared" si="66"/>
        <v>146.83333333333334</v>
      </c>
      <c r="P286" s="173">
        <f t="shared" si="67"/>
        <v>36.833333333333343</v>
      </c>
      <c r="Q286" s="177">
        <f t="shared" si="68"/>
        <v>0.33484848484848495</v>
      </c>
    </row>
    <row r="287" spans="1:17" x14ac:dyDescent="0.2">
      <c r="B287" t="s">
        <v>546</v>
      </c>
      <c r="C287">
        <v>158</v>
      </c>
      <c r="D287">
        <v>164</v>
      </c>
      <c r="E287">
        <v>169</v>
      </c>
      <c r="F287">
        <v>191</v>
      </c>
      <c r="G287">
        <v>185</v>
      </c>
      <c r="H287">
        <v>192</v>
      </c>
      <c r="I287">
        <v>181</v>
      </c>
      <c r="J287">
        <v>162</v>
      </c>
      <c r="K287">
        <v>140</v>
      </c>
      <c r="L287">
        <v>146</v>
      </c>
      <c r="M287">
        <v>154</v>
      </c>
      <c r="N287">
        <v>150</v>
      </c>
      <c r="O287" s="173">
        <f t="shared" si="66"/>
        <v>166</v>
      </c>
      <c r="P287" s="173">
        <f t="shared" si="67"/>
        <v>19.166666666666657</v>
      </c>
      <c r="Q287" s="177">
        <f t="shared" si="68"/>
        <v>0.13053348467650391</v>
      </c>
    </row>
    <row r="288" spans="1:17" x14ac:dyDescent="0.2">
      <c r="B288" t="s">
        <v>547</v>
      </c>
      <c r="C288">
        <v>135</v>
      </c>
      <c r="D288">
        <v>124</v>
      </c>
      <c r="E288">
        <v>138</v>
      </c>
      <c r="F288">
        <v>129</v>
      </c>
      <c r="G288">
        <v>115</v>
      </c>
      <c r="H288">
        <v>99</v>
      </c>
      <c r="I288">
        <v>91</v>
      </c>
      <c r="J288">
        <v>84</v>
      </c>
      <c r="K288">
        <v>90</v>
      </c>
      <c r="L288">
        <v>104</v>
      </c>
      <c r="M288">
        <v>95</v>
      </c>
      <c r="N288">
        <v>97</v>
      </c>
      <c r="O288" s="173">
        <f t="shared" si="66"/>
        <v>108.41666666666667</v>
      </c>
      <c r="P288" s="173">
        <f t="shared" si="67"/>
        <v>-57.583333333333329</v>
      </c>
      <c r="Q288" s="177">
        <f t="shared" si="68"/>
        <v>-0.3468875502008032</v>
      </c>
    </row>
    <row r="289" spans="1:18" x14ac:dyDescent="0.2">
      <c r="B289" t="s">
        <v>817</v>
      </c>
      <c r="C289">
        <v>101</v>
      </c>
      <c r="D289">
        <v>104</v>
      </c>
      <c r="E289">
        <v>121</v>
      </c>
      <c r="F289">
        <v>124</v>
      </c>
      <c r="G289">
        <v>126</v>
      </c>
      <c r="H289">
        <v>125</v>
      </c>
      <c r="I289">
        <v>129</v>
      </c>
      <c r="J289">
        <v>116</v>
      </c>
      <c r="K289">
        <v>116</v>
      </c>
      <c r="L289">
        <v>113</v>
      </c>
      <c r="M289">
        <v>120</v>
      </c>
      <c r="N289">
        <v>112</v>
      </c>
      <c r="O289" s="173">
        <f t="shared" si="66"/>
        <v>117.25</v>
      </c>
      <c r="P289" s="173">
        <f>SUM(O289-O288)</f>
        <v>8.8333333333333286</v>
      </c>
      <c r="Q289" s="177">
        <f>SUM(P289/O288)</f>
        <v>8.1475787855495724E-2</v>
      </c>
    </row>
    <row r="290" spans="1:18" x14ac:dyDescent="0.2">
      <c r="B290" t="s">
        <v>818</v>
      </c>
      <c r="C290">
        <v>96</v>
      </c>
      <c r="D290">
        <v>101</v>
      </c>
      <c r="E290">
        <v>93</v>
      </c>
      <c r="F290">
        <v>97</v>
      </c>
      <c r="G290">
        <v>95</v>
      </c>
      <c r="H290">
        <v>82</v>
      </c>
      <c r="I290">
        <v>91</v>
      </c>
      <c r="J290">
        <v>103</v>
      </c>
      <c r="K290">
        <v>101</v>
      </c>
      <c r="L290">
        <v>93</v>
      </c>
      <c r="M290">
        <v>114</v>
      </c>
      <c r="N290">
        <v>104</v>
      </c>
      <c r="O290" s="173">
        <f t="shared" si="66"/>
        <v>97.5</v>
      </c>
      <c r="P290" s="173">
        <f>SUM(O290-O289)</f>
        <v>-19.75</v>
      </c>
      <c r="Q290" s="177">
        <f>SUM(P290/O289)</f>
        <v>-0.16844349680170576</v>
      </c>
    </row>
    <row r="291" spans="1:18" x14ac:dyDescent="0.2">
      <c r="B291" t="s">
        <v>899</v>
      </c>
      <c r="C291">
        <v>93</v>
      </c>
      <c r="D291">
        <v>94</v>
      </c>
      <c r="E291">
        <v>99</v>
      </c>
      <c r="F291">
        <v>104</v>
      </c>
      <c r="O291" s="173"/>
      <c r="P291" s="173"/>
      <c r="Q291" s="177"/>
    </row>
    <row r="292" spans="1:18" x14ac:dyDescent="0.2">
      <c r="A292" s="520"/>
      <c r="B292" s="520"/>
      <c r="C292" s="520"/>
      <c r="D292" s="520"/>
      <c r="E292" s="520"/>
      <c r="F292" s="520"/>
      <c r="G292" s="520"/>
      <c r="H292" s="520"/>
      <c r="I292" s="520"/>
      <c r="J292" s="520"/>
      <c r="K292" s="520"/>
      <c r="L292" s="520"/>
      <c r="M292" s="520"/>
      <c r="N292" s="520"/>
      <c r="O292" s="520"/>
      <c r="P292" s="520"/>
      <c r="Q292" s="520"/>
      <c r="R292" s="520"/>
    </row>
    <row r="293" spans="1:18" ht="38.25" x14ac:dyDescent="0.2">
      <c r="A293" s="919" t="s">
        <v>426</v>
      </c>
      <c r="B293" s="920" t="s">
        <v>392</v>
      </c>
      <c r="C293" s="921" t="s">
        <v>393</v>
      </c>
      <c r="D293" s="921" t="s">
        <v>394</v>
      </c>
      <c r="E293" s="921" t="s">
        <v>395</v>
      </c>
      <c r="F293" s="921" t="s">
        <v>396</v>
      </c>
      <c r="G293" s="921" t="s">
        <v>397</v>
      </c>
      <c r="H293" s="921" t="s">
        <v>398</v>
      </c>
      <c r="I293" s="921" t="s">
        <v>399</v>
      </c>
      <c r="J293" s="921" t="s">
        <v>400</v>
      </c>
      <c r="K293" s="921" t="s">
        <v>401</v>
      </c>
      <c r="L293" s="921" t="s">
        <v>402</v>
      </c>
      <c r="M293" s="921" t="s">
        <v>403</v>
      </c>
      <c r="N293" s="921" t="s">
        <v>404</v>
      </c>
      <c r="O293" s="919" t="s">
        <v>405</v>
      </c>
      <c r="P293" s="922" t="s">
        <v>406</v>
      </c>
      <c r="Q293" s="922" t="s">
        <v>407</v>
      </c>
      <c r="R293" s="922" t="s">
        <v>427</v>
      </c>
    </row>
    <row r="294" spans="1:18" x14ac:dyDescent="0.2">
      <c r="A294" s="923" t="s">
        <v>444</v>
      </c>
      <c r="B294" s="924" t="s">
        <v>408</v>
      </c>
      <c r="C294" s="924">
        <f t="shared" ref="C294:N306" si="69">SUM(C3,C24,C46,C67,C89,C110,C132,C153,C175,C196,C218,C239,C261)</f>
        <v>4476</v>
      </c>
      <c r="D294" s="924">
        <f t="shared" si="69"/>
        <v>4483</v>
      </c>
      <c r="E294" s="924">
        <f t="shared" si="69"/>
        <v>4465</v>
      </c>
      <c r="F294" s="924">
        <f t="shared" si="69"/>
        <v>4430</v>
      </c>
      <c r="G294" s="924">
        <f t="shared" si="69"/>
        <v>4464</v>
      </c>
      <c r="H294" s="924">
        <f t="shared" si="69"/>
        <v>4489</v>
      </c>
      <c r="I294" s="924">
        <f t="shared" si="69"/>
        <v>4483</v>
      </c>
      <c r="J294" s="924">
        <f t="shared" si="69"/>
        <v>4518</v>
      </c>
      <c r="K294" s="924">
        <f t="shared" si="69"/>
        <v>4524</v>
      </c>
      <c r="L294" s="924">
        <f t="shared" si="69"/>
        <v>4527</v>
      </c>
      <c r="M294" s="924">
        <f t="shared" si="69"/>
        <v>4496</v>
      </c>
      <c r="N294" s="924">
        <f t="shared" si="69"/>
        <v>4561</v>
      </c>
      <c r="O294" s="924">
        <f t="shared" ref="O294:O302" si="70">SUM(C294:N294)/12</f>
        <v>4493</v>
      </c>
      <c r="P294" s="924"/>
      <c r="Q294" s="924"/>
      <c r="R294" s="924"/>
    </row>
    <row r="295" spans="1:18" x14ac:dyDescent="0.2">
      <c r="A295" s="924"/>
      <c r="B295" s="924" t="s">
        <v>409</v>
      </c>
      <c r="C295" s="924">
        <f t="shared" si="69"/>
        <v>4520</v>
      </c>
      <c r="D295" s="924">
        <f t="shared" si="69"/>
        <v>4564</v>
      </c>
      <c r="E295" s="924">
        <f t="shared" si="69"/>
        <v>4554</v>
      </c>
      <c r="F295" s="924">
        <f t="shared" si="69"/>
        <v>4570</v>
      </c>
      <c r="G295" s="924">
        <f t="shared" si="69"/>
        <v>4539</v>
      </c>
      <c r="H295" s="924">
        <f t="shared" si="69"/>
        <v>4559</v>
      </c>
      <c r="I295" s="924">
        <f t="shared" si="69"/>
        <v>4522</v>
      </c>
      <c r="J295" s="924">
        <f t="shared" si="69"/>
        <v>4548</v>
      </c>
      <c r="K295" s="924">
        <f t="shared" si="69"/>
        <v>4510</v>
      </c>
      <c r="L295" s="924">
        <f t="shared" si="69"/>
        <v>4548</v>
      </c>
      <c r="M295" s="924">
        <f t="shared" si="69"/>
        <v>4537</v>
      </c>
      <c r="N295" s="924">
        <f t="shared" si="69"/>
        <v>4525</v>
      </c>
      <c r="O295" s="925">
        <f t="shared" si="70"/>
        <v>4541.333333333333</v>
      </c>
      <c r="P295" s="925">
        <f t="shared" ref="P295:P301" si="71">SUM(O295-N294)</f>
        <v>-19.66666666666697</v>
      </c>
      <c r="Q295" s="926">
        <f t="shared" ref="Q295:Q309" si="72">SUM(P295/O294)</f>
        <v>-4.3771793159730621E-3</v>
      </c>
      <c r="R295" s="924"/>
    </row>
    <row r="296" spans="1:18" x14ac:dyDescent="0.2">
      <c r="A296" s="924"/>
      <c r="B296" s="924" t="s">
        <v>410</v>
      </c>
      <c r="C296" s="924">
        <f t="shared" si="69"/>
        <v>4558</v>
      </c>
      <c r="D296" s="924">
        <f t="shared" si="69"/>
        <v>4615</v>
      </c>
      <c r="E296" s="924">
        <f t="shared" si="69"/>
        <v>4607</v>
      </c>
      <c r="F296" s="924">
        <f t="shared" si="69"/>
        <v>4575</v>
      </c>
      <c r="G296" s="924">
        <f t="shared" si="69"/>
        <v>4575</v>
      </c>
      <c r="H296" s="924">
        <f t="shared" si="69"/>
        <v>4624</v>
      </c>
      <c r="I296" s="924">
        <f t="shared" si="69"/>
        <v>4604</v>
      </c>
      <c r="J296" s="924">
        <f t="shared" si="69"/>
        <v>4666</v>
      </c>
      <c r="K296" s="924">
        <f t="shared" si="69"/>
        <v>4736</v>
      </c>
      <c r="L296" s="924">
        <f t="shared" si="69"/>
        <v>4774</v>
      </c>
      <c r="M296" s="924">
        <f t="shared" si="69"/>
        <v>4832</v>
      </c>
      <c r="N296" s="924">
        <f t="shared" si="69"/>
        <v>4872</v>
      </c>
      <c r="O296" s="925">
        <f t="shared" si="70"/>
        <v>4669.833333333333</v>
      </c>
      <c r="P296" s="925">
        <f t="shared" si="71"/>
        <v>144.83333333333303</v>
      </c>
      <c r="Q296" s="926">
        <f t="shared" si="72"/>
        <v>3.1892248972401581E-2</v>
      </c>
      <c r="R296" s="926">
        <f>SUM(Q295:Q296)</f>
        <v>2.7515069656428519E-2</v>
      </c>
    </row>
    <row r="297" spans="1:18" x14ac:dyDescent="0.2">
      <c r="A297" s="924"/>
      <c r="B297" s="924" t="s">
        <v>244</v>
      </c>
      <c r="C297" s="924">
        <f t="shared" si="69"/>
        <v>4823</v>
      </c>
      <c r="D297" s="924">
        <f t="shared" si="69"/>
        <v>4949</v>
      </c>
      <c r="E297" s="924">
        <f t="shared" si="69"/>
        <v>4738</v>
      </c>
      <c r="F297" s="924">
        <f t="shared" si="69"/>
        <v>4753</v>
      </c>
      <c r="G297" s="924">
        <f t="shared" si="69"/>
        <v>4796</v>
      </c>
      <c r="H297" s="924">
        <f t="shared" si="69"/>
        <v>4795</v>
      </c>
      <c r="I297" s="924">
        <f t="shared" si="69"/>
        <v>4787</v>
      </c>
      <c r="J297" s="924">
        <f t="shared" si="69"/>
        <v>4789</v>
      </c>
      <c r="K297" s="924">
        <f t="shared" si="69"/>
        <v>4682</v>
      </c>
      <c r="L297" s="924">
        <f t="shared" si="69"/>
        <v>4694</v>
      </c>
      <c r="M297" s="924">
        <f t="shared" si="69"/>
        <v>4685</v>
      </c>
      <c r="N297" s="924">
        <f t="shared" si="69"/>
        <v>4723</v>
      </c>
      <c r="O297" s="925">
        <f t="shared" si="70"/>
        <v>4767.833333333333</v>
      </c>
      <c r="P297" s="925">
        <f t="shared" si="71"/>
        <v>-104.16666666666697</v>
      </c>
      <c r="Q297" s="926">
        <f t="shared" si="72"/>
        <v>-2.2306292158892245E-2</v>
      </c>
      <c r="R297" s="926">
        <f>SUM(Q295:Q297)</f>
        <v>5.2087774975362738E-3</v>
      </c>
    </row>
    <row r="298" spans="1:18" x14ac:dyDescent="0.2">
      <c r="A298" s="924"/>
      <c r="B298" s="924" t="s">
        <v>243</v>
      </c>
      <c r="C298" s="924">
        <f t="shared" si="69"/>
        <v>4934</v>
      </c>
      <c r="D298" s="924">
        <f t="shared" si="69"/>
        <v>4681</v>
      </c>
      <c r="E298" s="924">
        <f t="shared" si="69"/>
        <v>4701</v>
      </c>
      <c r="F298" s="924">
        <f t="shared" si="69"/>
        <v>4713</v>
      </c>
      <c r="G298" s="924">
        <f t="shared" si="69"/>
        <v>4644</v>
      </c>
      <c r="H298" s="924">
        <f t="shared" si="69"/>
        <v>4760</v>
      </c>
      <c r="I298" s="924">
        <f t="shared" si="69"/>
        <v>4760</v>
      </c>
      <c r="J298" s="924">
        <f t="shared" si="69"/>
        <v>4753</v>
      </c>
      <c r="K298" s="924">
        <f t="shared" si="69"/>
        <v>4744</v>
      </c>
      <c r="L298" s="924">
        <f t="shared" si="69"/>
        <v>4764</v>
      </c>
      <c r="M298" s="924">
        <f t="shared" si="69"/>
        <v>4810</v>
      </c>
      <c r="N298" s="924">
        <f t="shared" si="69"/>
        <v>4804</v>
      </c>
      <c r="O298" s="925">
        <f t="shared" si="70"/>
        <v>4755.666666666667</v>
      </c>
      <c r="P298" s="925">
        <f t="shared" si="71"/>
        <v>32.66666666666697</v>
      </c>
      <c r="Q298" s="926">
        <f t="shared" si="72"/>
        <v>6.8514699199497264E-3</v>
      </c>
      <c r="R298" s="926">
        <f>SUM(Q295:Q298)</f>
        <v>1.2060247417486E-2</v>
      </c>
    </row>
    <row r="299" spans="1:18" x14ac:dyDescent="0.2">
      <c r="A299" s="924"/>
      <c r="B299" s="924" t="s">
        <v>264</v>
      </c>
      <c r="C299" s="924">
        <f t="shared" si="69"/>
        <v>4780</v>
      </c>
      <c r="D299" s="924">
        <f t="shared" si="69"/>
        <v>4815</v>
      </c>
      <c r="E299" s="924">
        <f t="shared" si="69"/>
        <v>4843</v>
      </c>
      <c r="F299" s="924">
        <f t="shared" si="69"/>
        <v>4851</v>
      </c>
      <c r="G299" s="924">
        <f t="shared" si="69"/>
        <v>4883</v>
      </c>
      <c r="H299" s="924">
        <f t="shared" si="69"/>
        <v>4792</v>
      </c>
      <c r="I299" s="924">
        <f t="shared" si="69"/>
        <v>4842</v>
      </c>
      <c r="J299" s="924">
        <f t="shared" si="69"/>
        <v>4977</v>
      </c>
      <c r="K299" s="924">
        <f t="shared" si="69"/>
        <v>4949</v>
      </c>
      <c r="L299" s="924">
        <f t="shared" si="69"/>
        <v>4956</v>
      </c>
      <c r="M299" s="924">
        <f t="shared" si="69"/>
        <v>5017</v>
      </c>
      <c r="N299" s="924">
        <f t="shared" si="69"/>
        <v>4991</v>
      </c>
      <c r="O299" s="925">
        <f t="shared" si="70"/>
        <v>4891.333333333333</v>
      </c>
      <c r="P299" s="925">
        <f t="shared" si="71"/>
        <v>87.33333333333303</v>
      </c>
      <c r="Q299" s="926">
        <f t="shared" si="72"/>
        <v>1.8364056914558006E-2</v>
      </c>
      <c r="R299" s="926">
        <f>SUM(Q295:Q299)</f>
        <v>3.0424304332044006E-2</v>
      </c>
    </row>
    <row r="300" spans="1:18" x14ac:dyDescent="0.2">
      <c r="A300" s="924"/>
      <c r="B300" s="924" t="s">
        <v>274</v>
      </c>
      <c r="C300" s="924">
        <f t="shared" si="69"/>
        <v>5030</v>
      </c>
      <c r="D300" s="924">
        <f t="shared" si="69"/>
        <v>5070</v>
      </c>
      <c r="E300" s="924">
        <f t="shared" si="69"/>
        <v>5041</v>
      </c>
      <c r="F300" s="924">
        <f t="shared" si="69"/>
        <v>5085</v>
      </c>
      <c r="G300" s="924">
        <f t="shared" si="69"/>
        <v>5067</v>
      </c>
      <c r="H300" s="924">
        <f t="shared" si="69"/>
        <v>5102</v>
      </c>
      <c r="I300" s="924">
        <f t="shared" si="69"/>
        <v>5086</v>
      </c>
      <c r="J300" s="924">
        <f t="shared" si="69"/>
        <v>5164</v>
      </c>
      <c r="K300" s="924">
        <f t="shared" si="69"/>
        <v>5141</v>
      </c>
      <c r="L300" s="924">
        <f t="shared" si="69"/>
        <v>5196</v>
      </c>
      <c r="M300" s="924">
        <f t="shared" si="69"/>
        <v>5262</v>
      </c>
      <c r="N300" s="924">
        <f t="shared" si="69"/>
        <v>5272</v>
      </c>
      <c r="O300" s="925">
        <f t="shared" si="70"/>
        <v>5126.333333333333</v>
      </c>
      <c r="P300" s="925">
        <f t="shared" si="71"/>
        <v>135.33333333333303</v>
      </c>
      <c r="Q300" s="926">
        <f t="shared" si="72"/>
        <v>2.7667984189723261E-2</v>
      </c>
      <c r="R300" s="926">
        <f>SUM(Q295:Q300)</f>
        <v>5.8092288521767267E-2</v>
      </c>
    </row>
    <row r="301" spans="1:18" x14ac:dyDescent="0.2">
      <c r="A301" s="924"/>
      <c r="B301" s="924" t="s">
        <v>277</v>
      </c>
      <c r="C301" s="924">
        <f t="shared" si="69"/>
        <v>5300</v>
      </c>
      <c r="D301" s="924">
        <f t="shared" si="69"/>
        <v>5270</v>
      </c>
      <c r="E301" s="924">
        <f t="shared" si="69"/>
        <v>5214</v>
      </c>
      <c r="F301" s="924">
        <f t="shared" si="69"/>
        <v>5280</v>
      </c>
      <c r="G301" s="924">
        <f t="shared" si="69"/>
        <v>5289</v>
      </c>
      <c r="H301" s="924">
        <f t="shared" si="69"/>
        <v>5344</v>
      </c>
      <c r="I301" s="924">
        <f t="shared" si="69"/>
        <v>5315</v>
      </c>
      <c r="J301" s="924">
        <f t="shared" si="69"/>
        <v>5326</v>
      </c>
      <c r="K301" s="924">
        <f t="shared" si="69"/>
        <v>5260</v>
      </c>
      <c r="L301" s="924">
        <f t="shared" si="69"/>
        <v>5801</v>
      </c>
      <c r="M301" s="924">
        <f t="shared" si="69"/>
        <v>5765</v>
      </c>
      <c r="N301" s="924">
        <f t="shared" si="69"/>
        <v>5296</v>
      </c>
      <c r="O301" s="925">
        <f t="shared" si="70"/>
        <v>5371.666666666667</v>
      </c>
      <c r="P301" s="925">
        <f t="shared" si="71"/>
        <v>99.66666666666697</v>
      </c>
      <c r="Q301" s="926">
        <f t="shared" si="72"/>
        <v>1.9442096365173349E-2</v>
      </c>
      <c r="R301" s="926">
        <f t="shared" ref="R301:R311" si="73">SUM(Q295:Q301)</f>
        <v>7.7534384886940616E-2</v>
      </c>
    </row>
    <row r="302" spans="1:18" x14ac:dyDescent="0.2">
      <c r="A302" s="924"/>
      <c r="B302" s="924" t="s">
        <v>278</v>
      </c>
      <c r="C302" s="924">
        <f t="shared" si="69"/>
        <v>5324</v>
      </c>
      <c r="D302" s="924">
        <f t="shared" si="69"/>
        <v>5413</v>
      </c>
      <c r="E302" s="924">
        <f t="shared" si="69"/>
        <v>5738</v>
      </c>
      <c r="F302" s="924">
        <f t="shared" si="69"/>
        <v>5475</v>
      </c>
      <c r="G302" s="924">
        <f t="shared" si="69"/>
        <v>5231</v>
      </c>
      <c r="H302" s="924">
        <f t="shared" si="69"/>
        <v>5265</v>
      </c>
      <c r="I302" s="924">
        <f t="shared" si="69"/>
        <v>5442</v>
      </c>
      <c r="J302" s="924">
        <f t="shared" si="69"/>
        <v>5402</v>
      </c>
      <c r="K302" s="924">
        <f t="shared" si="69"/>
        <v>5364</v>
      </c>
      <c r="L302" s="924">
        <f t="shared" si="69"/>
        <v>5409</v>
      </c>
      <c r="M302" s="924">
        <f t="shared" si="69"/>
        <v>5790</v>
      </c>
      <c r="N302" s="924">
        <f t="shared" si="69"/>
        <v>5890</v>
      </c>
      <c r="O302" s="925">
        <f t="shared" si="70"/>
        <v>5478.583333333333</v>
      </c>
      <c r="P302" s="925">
        <f t="shared" ref="P302:P307" si="74">SUM(O302-O301)</f>
        <v>106.91666666666606</v>
      </c>
      <c r="Q302" s="926">
        <f t="shared" si="72"/>
        <v>1.9903816320198459E-2</v>
      </c>
      <c r="R302" s="926">
        <f t="shared" si="73"/>
        <v>0.10181538052311213</v>
      </c>
    </row>
    <row r="303" spans="1:18" x14ac:dyDescent="0.2">
      <c r="A303" s="924"/>
      <c r="B303" s="924" t="s">
        <v>279</v>
      </c>
      <c r="C303" s="924">
        <f t="shared" si="69"/>
        <v>5636</v>
      </c>
      <c r="D303" s="924">
        <f t="shared" si="69"/>
        <v>5620</v>
      </c>
      <c r="E303" s="924">
        <f t="shared" si="69"/>
        <v>5623</v>
      </c>
      <c r="F303" s="924">
        <f t="shared" si="69"/>
        <v>5600</v>
      </c>
      <c r="G303" s="924">
        <f t="shared" si="69"/>
        <v>5642</v>
      </c>
      <c r="H303" s="924">
        <f t="shared" si="69"/>
        <v>5678</v>
      </c>
      <c r="I303" s="924">
        <f t="shared" si="69"/>
        <v>5668</v>
      </c>
      <c r="J303" s="924">
        <f t="shared" si="69"/>
        <v>5682</v>
      </c>
      <c r="K303" s="924">
        <f t="shared" si="69"/>
        <v>5707</v>
      </c>
      <c r="L303" s="924">
        <f t="shared" si="69"/>
        <v>5751</v>
      </c>
      <c r="M303" s="924">
        <f t="shared" si="69"/>
        <v>5791</v>
      </c>
      <c r="N303" s="924">
        <f t="shared" si="69"/>
        <v>5813</v>
      </c>
      <c r="O303" s="925">
        <f>SUM(C303:N303)/12</f>
        <v>5684.25</v>
      </c>
      <c r="P303" s="925">
        <f t="shared" si="74"/>
        <v>205.66666666666697</v>
      </c>
      <c r="Q303" s="926">
        <f t="shared" si="72"/>
        <v>3.7540118339595148E-2</v>
      </c>
      <c r="R303" s="926">
        <f t="shared" si="73"/>
        <v>0.1074632498903057</v>
      </c>
    </row>
    <row r="304" spans="1:18" x14ac:dyDescent="0.2">
      <c r="A304" s="924"/>
      <c r="B304" s="924" t="s">
        <v>317</v>
      </c>
      <c r="C304" s="924">
        <f t="shared" si="69"/>
        <v>5792</v>
      </c>
      <c r="D304" s="924">
        <f t="shared" si="69"/>
        <v>5837</v>
      </c>
      <c r="E304" s="924">
        <f t="shared" si="69"/>
        <v>5783</v>
      </c>
      <c r="F304" s="924">
        <f t="shared" si="69"/>
        <v>5776</v>
      </c>
      <c r="G304" s="924">
        <f t="shared" si="69"/>
        <v>5691</v>
      </c>
      <c r="H304" s="924">
        <f t="shared" si="69"/>
        <v>5868</v>
      </c>
      <c r="I304" s="924">
        <f t="shared" si="69"/>
        <v>5812</v>
      </c>
      <c r="J304" s="924">
        <f t="shared" si="69"/>
        <v>5855</v>
      </c>
      <c r="K304" s="924">
        <f t="shared" si="69"/>
        <v>5867</v>
      </c>
      <c r="L304" s="924">
        <f t="shared" si="69"/>
        <v>5881</v>
      </c>
      <c r="M304" s="924">
        <f t="shared" si="69"/>
        <v>5824</v>
      </c>
      <c r="N304" s="924">
        <f t="shared" si="69"/>
        <v>5846</v>
      </c>
      <c r="O304" s="925">
        <f>SUM(C304:N304)/12</f>
        <v>5819.333333333333</v>
      </c>
      <c r="P304" s="925">
        <f t="shared" si="74"/>
        <v>135.08333333333303</v>
      </c>
      <c r="Q304" s="926">
        <f t="shared" si="72"/>
        <v>2.3764495462608618E-2</v>
      </c>
      <c r="R304" s="926">
        <f t="shared" si="73"/>
        <v>0.15353403751180655</v>
      </c>
    </row>
    <row r="305" spans="1:20" x14ac:dyDescent="0.2">
      <c r="A305" s="924"/>
      <c r="B305" s="924" t="s">
        <v>338</v>
      </c>
      <c r="C305" s="924">
        <f t="shared" si="69"/>
        <v>5909</v>
      </c>
      <c r="D305" s="924">
        <f t="shared" si="69"/>
        <v>5921</v>
      </c>
      <c r="E305" s="924">
        <f t="shared" si="69"/>
        <v>5881</v>
      </c>
      <c r="F305" s="924">
        <f t="shared" si="69"/>
        <v>5938</v>
      </c>
      <c r="G305" s="924">
        <f t="shared" si="69"/>
        <v>5963</v>
      </c>
      <c r="H305" s="924">
        <f t="shared" si="69"/>
        <v>5986</v>
      </c>
      <c r="I305" s="924">
        <f t="shared" si="69"/>
        <v>5927</v>
      </c>
      <c r="J305" s="924">
        <f t="shared" si="69"/>
        <v>5974</v>
      </c>
      <c r="K305" s="924">
        <f t="shared" si="69"/>
        <v>6009</v>
      </c>
      <c r="L305" s="924">
        <f t="shared" si="69"/>
        <v>6021</v>
      </c>
      <c r="M305" s="924">
        <f t="shared" si="69"/>
        <v>5978</v>
      </c>
      <c r="N305" s="924">
        <f t="shared" si="69"/>
        <v>5883</v>
      </c>
      <c r="O305" s="925">
        <f>SUM(C305:N305)/12</f>
        <v>5949.166666666667</v>
      </c>
      <c r="P305" s="925">
        <f t="shared" si="74"/>
        <v>129.83333333333394</v>
      </c>
      <c r="Q305" s="926">
        <f t="shared" si="72"/>
        <v>2.2310688509565919E-2</v>
      </c>
      <c r="R305" s="926">
        <f t="shared" si="73"/>
        <v>0.16899325610142274</v>
      </c>
    </row>
    <row r="306" spans="1:20" x14ac:dyDescent="0.2">
      <c r="A306" s="924"/>
      <c r="B306" s="924" t="s">
        <v>428</v>
      </c>
      <c r="C306" s="924">
        <f t="shared" si="69"/>
        <v>5999</v>
      </c>
      <c r="D306" s="924">
        <f t="shared" si="69"/>
        <v>6010</v>
      </c>
      <c r="E306" s="924">
        <f t="shared" si="69"/>
        <v>6006</v>
      </c>
      <c r="F306" s="924">
        <f t="shared" si="69"/>
        <v>6022</v>
      </c>
      <c r="G306" s="924">
        <f t="shared" si="69"/>
        <v>6027</v>
      </c>
      <c r="H306" s="924">
        <f t="shared" si="69"/>
        <v>6072</v>
      </c>
      <c r="I306" s="924">
        <f t="shared" si="69"/>
        <v>6094</v>
      </c>
      <c r="J306" s="924">
        <f t="shared" si="69"/>
        <v>6090</v>
      </c>
      <c r="K306" s="924">
        <f t="shared" si="69"/>
        <v>6044</v>
      </c>
      <c r="L306" s="924">
        <f t="shared" si="69"/>
        <v>6053</v>
      </c>
      <c r="M306" s="924">
        <f t="shared" si="69"/>
        <v>6097</v>
      </c>
      <c r="N306" s="924">
        <f t="shared" si="69"/>
        <v>6122</v>
      </c>
      <c r="O306" s="925">
        <f>SUM(C306:N306)/12</f>
        <v>6053</v>
      </c>
      <c r="P306" s="925">
        <f t="shared" si="74"/>
        <v>103.83333333333303</v>
      </c>
      <c r="Q306" s="926">
        <f t="shared" si="72"/>
        <v>1.7453424849418635E-2</v>
      </c>
      <c r="R306" s="926">
        <f t="shared" si="73"/>
        <v>0.16808262403628338</v>
      </c>
    </row>
    <row r="307" spans="1:20" x14ac:dyDescent="0.2">
      <c r="A307" s="924"/>
      <c r="B307" s="924" t="s">
        <v>445</v>
      </c>
      <c r="C307" s="924">
        <f t="shared" ref="C307:O313" si="75">SUM(C16,C37,C59,C80,C102,C123,C145,C166,C188,C209,C231,C252,C274,C285)</f>
        <v>6219</v>
      </c>
      <c r="D307" s="924">
        <f t="shared" si="75"/>
        <v>6195</v>
      </c>
      <c r="E307" s="924">
        <f t="shared" si="75"/>
        <v>6211</v>
      </c>
      <c r="F307" s="924">
        <f t="shared" si="75"/>
        <v>6268</v>
      </c>
      <c r="G307" s="924">
        <f t="shared" si="75"/>
        <v>6289</v>
      </c>
      <c r="H307" s="924">
        <f t="shared" si="75"/>
        <v>6246</v>
      </c>
      <c r="I307" s="924">
        <f t="shared" si="75"/>
        <v>6283</v>
      </c>
      <c r="J307" s="924">
        <f t="shared" si="75"/>
        <v>6294</v>
      </c>
      <c r="K307" s="924">
        <f t="shared" si="75"/>
        <v>6169</v>
      </c>
      <c r="L307" s="924">
        <f t="shared" si="75"/>
        <v>6109</v>
      </c>
      <c r="M307" s="924">
        <f t="shared" si="75"/>
        <v>6183</v>
      </c>
      <c r="N307" s="924">
        <f t="shared" si="75"/>
        <v>6197</v>
      </c>
      <c r="O307" s="925">
        <f t="shared" si="75"/>
        <v>6221.9166666666652</v>
      </c>
      <c r="P307" s="925">
        <f t="shared" si="74"/>
        <v>168.91666666666515</v>
      </c>
      <c r="Q307" s="926">
        <f t="shared" si="72"/>
        <v>2.7906272371826392E-2</v>
      </c>
      <c r="R307" s="926">
        <f t="shared" si="73"/>
        <v>0.16832091221838652</v>
      </c>
    </row>
    <row r="308" spans="1:20" x14ac:dyDescent="0.2">
      <c r="A308" s="924"/>
      <c r="B308" s="924" t="s">
        <v>510</v>
      </c>
      <c r="C308" s="924">
        <f t="shared" si="75"/>
        <v>6254</v>
      </c>
      <c r="D308" s="924">
        <f t="shared" si="75"/>
        <v>6195</v>
      </c>
      <c r="E308" s="924">
        <f t="shared" si="75"/>
        <v>6259</v>
      </c>
      <c r="F308" s="924">
        <f t="shared" si="75"/>
        <v>6210</v>
      </c>
      <c r="G308" s="924">
        <f t="shared" si="75"/>
        <v>6164</v>
      </c>
      <c r="H308" s="924">
        <f t="shared" si="75"/>
        <v>6214</v>
      </c>
      <c r="I308" s="924">
        <f t="shared" si="75"/>
        <v>6176</v>
      </c>
      <c r="J308" s="924">
        <f t="shared" si="75"/>
        <v>6172</v>
      </c>
      <c r="K308" s="924">
        <f t="shared" si="75"/>
        <v>6086</v>
      </c>
      <c r="L308" s="924">
        <f t="shared" si="75"/>
        <v>6077</v>
      </c>
      <c r="M308" s="924">
        <f t="shared" si="75"/>
        <v>6086</v>
      </c>
      <c r="N308" s="924">
        <f t="shared" si="75"/>
        <v>6159</v>
      </c>
      <c r="O308" s="924">
        <f t="shared" si="75"/>
        <v>6171.0000000000009</v>
      </c>
      <c r="P308" s="925">
        <f>SUM(O308-O307)</f>
        <v>-50.916666666664241</v>
      </c>
      <c r="Q308" s="926">
        <f t="shared" si="72"/>
        <v>-8.1834375795236062E-3</v>
      </c>
      <c r="R308" s="926">
        <f t="shared" si="73"/>
        <v>0.14069537827368955</v>
      </c>
    </row>
    <row r="309" spans="1:20" x14ac:dyDescent="0.2">
      <c r="A309" s="924"/>
      <c r="B309" s="924" t="s">
        <v>546</v>
      </c>
      <c r="C309" s="924">
        <f t="shared" si="75"/>
        <v>6046</v>
      </c>
      <c r="D309" s="924">
        <f t="shared" si="75"/>
        <v>5977</v>
      </c>
      <c r="E309" s="924">
        <f t="shared" si="75"/>
        <v>5919</v>
      </c>
      <c r="F309" s="924">
        <f t="shared" si="75"/>
        <v>5878</v>
      </c>
      <c r="G309" s="924">
        <f t="shared" si="75"/>
        <v>5876</v>
      </c>
      <c r="H309" s="924">
        <f t="shared" si="75"/>
        <v>5773</v>
      </c>
      <c r="I309" s="924">
        <f t="shared" si="75"/>
        <v>5785</v>
      </c>
      <c r="J309" s="924">
        <f t="shared" si="75"/>
        <v>5754</v>
      </c>
      <c r="K309" s="924">
        <f t="shared" si="75"/>
        <v>5747</v>
      </c>
      <c r="L309" s="924">
        <f t="shared" si="75"/>
        <v>5612</v>
      </c>
      <c r="M309" s="924">
        <f t="shared" si="75"/>
        <v>5667</v>
      </c>
      <c r="N309" s="924">
        <f t="shared" si="75"/>
        <v>5672</v>
      </c>
      <c r="O309" s="925">
        <f t="shared" si="75"/>
        <v>5808.833333333333</v>
      </c>
      <c r="P309" s="925">
        <f>SUM(O309-O308)</f>
        <v>-362.16666666666788</v>
      </c>
      <c r="Q309" s="926">
        <f t="shared" si="72"/>
        <v>-5.8688489169772783E-2</v>
      </c>
      <c r="R309" s="926">
        <f t="shared" si="73"/>
        <v>6.2103072783718329E-2</v>
      </c>
    </row>
    <row r="310" spans="1:20" x14ac:dyDescent="0.2">
      <c r="A310" s="924"/>
      <c r="B310" s="924" t="s">
        <v>547</v>
      </c>
      <c r="C310" s="924">
        <f t="shared" si="75"/>
        <v>5433</v>
      </c>
      <c r="D310" s="924">
        <f t="shared" si="75"/>
        <v>5487</v>
      </c>
      <c r="E310" s="924">
        <f t="shared" si="75"/>
        <v>5411</v>
      </c>
      <c r="F310" s="924">
        <f t="shared" si="75"/>
        <v>5423</v>
      </c>
      <c r="G310" s="924">
        <f t="shared" si="75"/>
        <v>5368</v>
      </c>
      <c r="H310" s="924">
        <f t="shared" si="75"/>
        <v>5293</v>
      </c>
      <c r="I310" s="924">
        <f t="shared" si="75"/>
        <v>5267</v>
      </c>
      <c r="J310" s="924">
        <f t="shared" si="75"/>
        <v>5284</v>
      </c>
      <c r="K310" s="924">
        <f t="shared" si="75"/>
        <v>5341</v>
      </c>
      <c r="L310" s="924">
        <f t="shared" si="75"/>
        <v>5347</v>
      </c>
      <c r="M310" s="924">
        <f t="shared" si="75"/>
        <v>5336</v>
      </c>
      <c r="N310" s="924">
        <f t="shared" si="75"/>
        <v>5326</v>
      </c>
      <c r="O310" s="925">
        <f t="shared" si="75"/>
        <v>5359.6666666666661</v>
      </c>
      <c r="P310" s="925">
        <f>SUM(O310-O309)</f>
        <v>-449.16666666666697</v>
      </c>
      <c r="Q310" s="926">
        <f>SUM(P310/O309)</f>
        <v>-7.7324764008837171E-2</v>
      </c>
      <c r="R310" s="926">
        <f t="shared" si="73"/>
        <v>-5.2761809564714011E-2</v>
      </c>
    </row>
    <row r="311" spans="1:20" x14ac:dyDescent="0.2">
      <c r="A311" s="924"/>
      <c r="B311" s="924" t="s">
        <v>817</v>
      </c>
      <c r="C311" s="924">
        <f t="shared" si="75"/>
        <v>5219</v>
      </c>
      <c r="D311" s="924">
        <f t="shared" si="75"/>
        <v>5269</v>
      </c>
      <c r="E311" s="924">
        <f t="shared" si="75"/>
        <v>5324</v>
      </c>
      <c r="F311" s="924">
        <f t="shared" si="75"/>
        <v>5315</v>
      </c>
      <c r="G311" s="924">
        <f t="shared" si="75"/>
        <v>5268</v>
      </c>
      <c r="H311" s="924">
        <f t="shared" si="75"/>
        <v>5235</v>
      </c>
      <c r="I311" s="924">
        <f t="shared" si="75"/>
        <v>5264</v>
      </c>
      <c r="J311" s="924">
        <f t="shared" si="75"/>
        <v>5178</v>
      </c>
      <c r="K311" s="924">
        <f t="shared" si="75"/>
        <v>5152</v>
      </c>
      <c r="L311" s="924">
        <f t="shared" si="75"/>
        <v>5033</v>
      </c>
      <c r="M311" s="924">
        <f t="shared" si="75"/>
        <v>5006</v>
      </c>
      <c r="N311" s="924">
        <f t="shared" si="75"/>
        <v>4982</v>
      </c>
      <c r="O311" s="925">
        <f t="shared" si="75"/>
        <v>5187.0833333333339</v>
      </c>
      <c r="P311" s="925">
        <f>SUM(O311-O310)</f>
        <v>-172.58333333333212</v>
      </c>
      <c r="Q311" s="926">
        <f>SUM(P311/O310)</f>
        <v>-3.2200385596118937E-2</v>
      </c>
      <c r="R311" s="926">
        <f t="shared" si="73"/>
        <v>-0.10872669062344156</v>
      </c>
    </row>
    <row r="312" spans="1:20" s="666" customFormat="1" x14ac:dyDescent="0.2">
      <c r="A312" s="927"/>
      <c r="B312" s="927" t="s">
        <v>818</v>
      </c>
      <c r="C312" s="927">
        <f t="shared" si="75"/>
        <v>4882</v>
      </c>
      <c r="D312" s="927">
        <f t="shared" si="75"/>
        <v>4681</v>
      </c>
      <c r="E312" s="927">
        <f t="shared" si="75"/>
        <v>4495</v>
      </c>
      <c r="F312" s="927">
        <f t="shared" si="75"/>
        <v>4435</v>
      </c>
      <c r="G312" s="927">
        <f t="shared" si="75"/>
        <v>4323</v>
      </c>
      <c r="H312" s="927">
        <f t="shared" si="75"/>
        <v>4276</v>
      </c>
      <c r="I312" s="927">
        <f t="shared" si="75"/>
        <v>4217</v>
      </c>
      <c r="J312" s="927">
        <f t="shared" si="75"/>
        <v>4158</v>
      </c>
      <c r="K312" s="927">
        <f t="shared" si="75"/>
        <v>4144</v>
      </c>
      <c r="L312" s="927">
        <f t="shared" si="75"/>
        <v>4075</v>
      </c>
      <c r="M312" s="927">
        <f t="shared" si="75"/>
        <v>3998</v>
      </c>
      <c r="N312" s="927">
        <f t="shared" si="75"/>
        <v>3940</v>
      </c>
      <c r="O312" s="928">
        <f t="shared" si="75"/>
        <v>4301.9999999999991</v>
      </c>
      <c r="P312" s="928">
        <f>SUM(O312-O311)</f>
        <v>-885.08333333333485</v>
      </c>
      <c r="Q312" s="929">
        <f>SUM(P312/O311)</f>
        <v>-0.17063217929150962</v>
      </c>
      <c r="R312" s="929">
        <f>SUM(Q306:Q312)</f>
        <v>-0.30166955842451709</v>
      </c>
    </row>
    <row r="313" spans="1:20" x14ac:dyDescent="0.2">
      <c r="A313" s="924"/>
      <c r="B313" s="924" t="s">
        <v>899</v>
      </c>
      <c r="C313" s="924">
        <f>SUM(C22,C43,C65,C86,C108,C129,C151,C172,C194,C215,C237,C258,C280,C291)</f>
        <v>3856</v>
      </c>
      <c r="D313" s="924">
        <f>SUM(D22,D43,D65,D86,D108,D129,D151,D172,D194,D215,D237,D258,D280,D291)</f>
        <v>3720</v>
      </c>
      <c r="E313" s="924">
        <f t="shared" si="75"/>
        <v>3727</v>
      </c>
      <c r="F313" s="924">
        <f t="shared" si="75"/>
        <v>3674</v>
      </c>
      <c r="G313" s="924">
        <f t="shared" si="75"/>
        <v>0</v>
      </c>
      <c r="H313" s="924">
        <f t="shared" si="75"/>
        <v>0</v>
      </c>
      <c r="I313" s="924">
        <f t="shared" si="75"/>
        <v>0</v>
      </c>
      <c r="J313" s="924">
        <f t="shared" si="75"/>
        <v>0</v>
      </c>
      <c r="K313" s="924">
        <f t="shared" si="75"/>
        <v>0</v>
      </c>
      <c r="L313" s="924">
        <f t="shared" si="75"/>
        <v>0</v>
      </c>
      <c r="M313" s="924">
        <f t="shared" si="75"/>
        <v>0</v>
      </c>
      <c r="N313" s="924">
        <f t="shared" si="75"/>
        <v>0</v>
      </c>
      <c r="O313" s="924">
        <f t="shared" si="75"/>
        <v>0</v>
      </c>
      <c r="P313" s="925"/>
      <c r="Q313" s="926"/>
      <c r="R313" s="926"/>
    </row>
    <row r="314" spans="1:20" x14ac:dyDescent="0.2">
      <c r="A314" s="812" t="s">
        <v>903</v>
      </c>
      <c r="G314" s="931">
        <f>O312</f>
        <v>4301.9999999999991</v>
      </c>
    </row>
    <row r="315" spans="1:20" ht="13.5" thickBot="1" x14ac:dyDescent="0.25">
      <c r="A315" s="930"/>
      <c r="B315" s="930"/>
      <c r="C315" s="930"/>
      <c r="D315" s="930"/>
      <c r="E315" s="930"/>
      <c r="F315" s="930"/>
      <c r="G315" s="930"/>
      <c r="H315" s="930"/>
      <c r="I315" s="930"/>
      <c r="J315" s="930"/>
      <c r="K315" s="930"/>
      <c r="L315" s="930"/>
      <c r="M315" s="930"/>
      <c r="N315" s="930"/>
      <c r="O315" s="930"/>
      <c r="P315" s="930"/>
      <c r="Q315" s="930"/>
      <c r="R315" s="930"/>
      <c r="S315" s="930"/>
      <c r="T315" s="930"/>
    </row>
    <row r="316" spans="1:20" ht="13.5" thickTop="1" x14ac:dyDescent="0.2"/>
    <row r="317" spans="1:20" ht="38.25" x14ac:dyDescent="0.2">
      <c r="A317" s="175" t="s">
        <v>391</v>
      </c>
      <c r="B317" s="176" t="s">
        <v>392</v>
      </c>
      <c r="C317" s="178" t="s">
        <v>393</v>
      </c>
      <c r="D317" s="178" t="s">
        <v>394</v>
      </c>
      <c r="E317" s="178" t="s">
        <v>395</v>
      </c>
      <c r="F317" s="178" t="s">
        <v>396</v>
      </c>
      <c r="G317" s="178" t="s">
        <v>397</v>
      </c>
      <c r="H317" s="178" t="s">
        <v>398</v>
      </c>
      <c r="I317" s="178" t="s">
        <v>399</v>
      </c>
      <c r="J317" s="178" t="s">
        <v>400</v>
      </c>
      <c r="K317" s="178" t="s">
        <v>401</v>
      </c>
      <c r="L317" s="178" t="s">
        <v>402</v>
      </c>
      <c r="M317" s="178" t="s">
        <v>403</v>
      </c>
      <c r="N317" s="178" t="s">
        <v>404</v>
      </c>
      <c r="O317" s="174" t="s">
        <v>405</v>
      </c>
      <c r="P317" s="521" t="s">
        <v>406</v>
      </c>
      <c r="Q317" s="521" t="s">
        <v>407</v>
      </c>
    </row>
    <row r="318" spans="1:20" x14ac:dyDescent="0.2">
      <c r="B318" t="s">
        <v>408</v>
      </c>
      <c r="C318">
        <v>1998</v>
      </c>
      <c r="D318">
        <v>2016</v>
      </c>
      <c r="E318">
        <v>1984</v>
      </c>
      <c r="F318">
        <v>2010</v>
      </c>
      <c r="G318">
        <v>2067</v>
      </c>
      <c r="H318">
        <v>2078</v>
      </c>
      <c r="I318">
        <v>2078</v>
      </c>
      <c r="J318">
        <v>2085</v>
      </c>
      <c r="K318">
        <v>2134</v>
      </c>
      <c r="L318">
        <v>2136</v>
      </c>
      <c r="M318">
        <v>2135</v>
      </c>
      <c r="N318">
        <v>2143</v>
      </c>
      <c r="O318">
        <f>SUM(C318:N318)/12</f>
        <v>2072</v>
      </c>
    </row>
    <row r="319" spans="1:20" x14ac:dyDescent="0.2">
      <c r="B319" t="s">
        <v>409</v>
      </c>
      <c r="C319">
        <v>2155</v>
      </c>
      <c r="D319">
        <v>2157</v>
      </c>
      <c r="E319">
        <v>2172</v>
      </c>
      <c r="F319">
        <v>2180</v>
      </c>
      <c r="G319">
        <v>2183</v>
      </c>
      <c r="H319">
        <v>2205</v>
      </c>
      <c r="I319">
        <v>2192</v>
      </c>
      <c r="J319">
        <v>2191</v>
      </c>
      <c r="K319">
        <v>2183</v>
      </c>
      <c r="L319">
        <v>2183</v>
      </c>
      <c r="M319">
        <v>2191</v>
      </c>
      <c r="N319">
        <v>2189</v>
      </c>
      <c r="O319" s="173">
        <f t="shared" ref="O319:O326" si="76">SUM(C319:N319)/12</f>
        <v>2181.75</v>
      </c>
      <c r="P319" s="173">
        <f t="shared" ref="P319:P333" si="77">SUM(O319-O318)</f>
        <v>109.75</v>
      </c>
      <c r="Q319" s="177">
        <f>SUM(P319/O318)</f>
        <v>5.2968146718146716E-2</v>
      </c>
    </row>
    <row r="320" spans="1:20" x14ac:dyDescent="0.2">
      <c r="B320" t="s">
        <v>410</v>
      </c>
      <c r="C320">
        <v>2201</v>
      </c>
      <c r="D320">
        <v>2233</v>
      </c>
      <c r="E320">
        <v>2235</v>
      </c>
      <c r="F320">
        <v>2252</v>
      </c>
      <c r="G320">
        <v>2259</v>
      </c>
      <c r="H320">
        <v>2271</v>
      </c>
      <c r="I320">
        <v>2271</v>
      </c>
      <c r="J320">
        <v>2307</v>
      </c>
      <c r="K320">
        <v>2319</v>
      </c>
      <c r="L320">
        <v>2331</v>
      </c>
      <c r="M320">
        <v>2343</v>
      </c>
      <c r="N320">
        <v>2355</v>
      </c>
      <c r="O320" s="173">
        <f t="shared" si="76"/>
        <v>2281.4166666666665</v>
      </c>
      <c r="P320" s="173">
        <f t="shared" si="77"/>
        <v>99.666666666666515</v>
      </c>
      <c r="Q320" s="177">
        <f t="shared" ref="Q320:Q331" si="78">SUM(P320/O319)</f>
        <v>4.5681983117527906E-2</v>
      </c>
    </row>
    <row r="321" spans="2:17" x14ac:dyDescent="0.2">
      <c r="B321" t="s">
        <v>244</v>
      </c>
      <c r="C321">
        <v>2324</v>
      </c>
      <c r="D321">
        <v>2433</v>
      </c>
      <c r="E321">
        <v>2266</v>
      </c>
      <c r="F321">
        <v>2266</v>
      </c>
      <c r="G321">
        <v>2306</v>
      </c>
      <c r="H321">
        <v>2306</v>
      </c>
      <c r="I321">
        <v>2306</v>
      </c>
      <c r="J321">
        <v>2334</v>
      </c>
      <c r="K321">
        <v>2230</v>
      </c>
      <c r="L321">
        <v>2230</v>
      </c>
      <c r="M321">
        <v>2230</v>
      </c>
      <c r="N321">
        <v>2230</v>
      </c>
      <c r="O321" s="173">
        <f t="shared" si="76"/>
        <v>2288.4166666666665</v>
      </c>
      <c r="P321" s="173">
        <f t="shared" si="77"/>
        <v>7</v>
      </c>
      <c r="Q321" s="177">
        <f t="shared" si="78"/>
        <v>3.0682689849143444E-3</v>
      </c>
    </row>
    <row r="322" spans="2:17" x14ac:dyDescent="0.2">
      <c r="B322" t="s">
        <v>243</v>
      </c>
      <c r="C322">
        <v>2408</v>
      </c>
      <c r="D322">
        <v>2335</v>
      </c>
      <c r="E322">
        <v>2353</v>
      </c>
      <c r="F322">
        <v>2353</v>
      </c>
      <c r="G322">
        <v>2311</v>
      </c>
      <c r="H322">
        <v>2367</v>
      </c>
      <c r="I322">
        <v>2367</v>
      </c>
      <c r="J322">
        <v>2352</v>
      </c>
      <c r="K322">
        <v>2336</v>
      </c>
      <c r="L322">
        <v>2336</v>
      </c>
      <c r="M322">
        <v>2292</v>
      </c>
      <c r="N322">
        <v>2318</v>
      </c>
      <c r="O322" s="173">
        <f t="shared" si="76"/>
        <v>2344</v>
      </c>
      <c r="P322" s="173">
        <f t="shared" si="77"/>
        <v>55.583333333333485</v>
      </c>
      <c r="Q322" s="177">
        <f t="shared" si="78"/>
        <v>2.4288991660900983E-2</v>
      </c>
    </row>
    <row r="323" spans="2:17" x14ac:dyDescent="0.2">
      <c r="B323" t="s">
        <v>264</v>
      </c>
      <c r="C323">
        <v>2312</v>
      </c>
      <c r="D323">
        <v>2305</v>
      </c>
      <c r="E323">
        <v>2318</v>
      </c>
      <c r="F323">
        <v>2318</v>
      </c>
      <c r="G323">
        <v>2350</v>
      </c>
      <c r="H323">
        <v>2314</v>
      </c>
      <c r="I323">
        <v>2314</v>
      </c>
      <c r="J323">
        <v>2426</v>
      </c>
      <c r="K323">
        <v>2400</v>
      </c>
      <c r="L323">
        <v>2454</v>
      </c>
      <c r="M323">
        <v>2536</v>
      </c>
      <c r="N323">
        <v>2334</v>
      </c>
      <c r="O323" s="173">
        <f t="shared" si="76"/>
        <v>2365.0833333333335</v>
      </c>
      <c r="P323" s="173">
        <f t="shared" si="77"/>
        <v>21.083333333333485</v>
      </c>
      <c r="Q323" s="177">
        <f t="shared" si="78"/>
        <v>8.9945961319682095E-3</v>
      </c>
    </row>
    <row r="324" spans="2:17" x14ac:dyDescent="0.2">
      <c r="B324" t="s">
        <v>274</v>
      </c>
      <c r="C324">
        <v>2357</v>
      </c>
      <c r="D324">
        <v>2384</v>
      </c>
      <c r="E324">
        <v>2387</v>
      </c>
      <c r="F324">
        <v>2410</v>
      </c>
      <c r="G324">
        <v>2414</v>
      </c>
      <c r="H324">
        <v>2444</v>
      </c>
      <c r="I324">
        <v>2444</v>
      </c>
      <c r="J324">
        <v>2433</v>
      </c>
      <c r="K324">
        <v>2417</v>
      </c>
      <c r="L324">
        <v>2424</v>
      </c>
      <c r="M324">
        <v>2443</v>
      </c>
      <c r="N324">
        <v>2445</v>
      </c>
      <c r="O324" s="173">
        <f t="shared" si="76"/>
        <v>2416.8333333333335</v>
      </c>
      <c r="P324" s="173">
        <f t="shared" si="77"/>
        <v>51.75</v>
      </c>
      <c r="Q324" s="177">
        <f t="shared" si="78"/>
        <v>2.1880835770409779E-2</v>
      </c>
    </row>
    <row r="325" spans="2:17" x14ac:dyDescent="0.2">
      <c r="B325" t="s">
        <v>277</v>
      </c>
      <c r="C325">
        <v>2453</v>
      </c>
      <c r="D325">
        <v>2437</v>
      </c>
      <c r="E325">
        <v>2420</v>
      </c>
      <c r="F325">
        <v>2487</v>
      </c>
      <c r="G325">
        <v>2437</v>
      </c>
      <c r="H325">
        <v>2479</v>
      </c>
      <c r="I325">
        <v>2466</v>
      </c>
      <c r="J325">
        <v>2488</v>
      </c>
      <c r="K325">
        <v>2477</v>
      </c>
      <c r="L325">
        <v>2562</v>
      </c>
      <c r="M325">
        <v>2557</v>
      </c>
      <c r="N325">
        <v>2455</v>
      </c>
      <c r="O325" s="173">
        <f t="shared" si="76"/>
        <v>2476.5</v>
      </c>
      <c r="P325" s="173">
        <f t="shared" si="77"/>
        <v>59.666666666666515</v>
      </c>
      <c r="Q325" s="177">
        <f t="shared" si="78"/>
        <v>2.4687952554996142E-2</v>
      </c>
    </row>
    <row r="326" spans="2:17" x14ac:dyDescent="0.2">
      <c r="B326" t="s">
        <v>278</v>
      </c>
      <c r="C326">
        <v>2495</v>
      </c>
      <c r="D326">
        <v>2542</v>
      </c>
      <c r="E326">
        <v>2644</v>
      </c>
      <c r="F326">
        <v>2580</v>
      </c>
      <c r="G326">
        <v>2273</v>
      </c>
      <c r="H326">
        <v>2302</v>
      </c>
      <c r="I326">
        <v>2395</v>
      </c>
      <c r="J326">
        <v>2404</v>
      </c>
      <c r="K326">
        <v>2394</v>
      </c>
      <c r="L326">
        <v>2426</v>
      </c>
      <c r="M326">
        <v>2689</v>
      </c>
      <c r="N326">
        <v>2739</v>
      </c>
      <c r="O326" s="173">
        <f t="shared" si="76"/>
        <v>2490.25</v>
      </c>
      <c r="P326" s="173">
        <f t="shared" si="77"/>
        <v>13.75</v>
      </c>
      <c r="Q326" s="177">
        <f t="shared" si="78"/>
        <v>5.5521905915606705E-3</v>
      </c>
    </row>
    <row r="327" spans="2:17" x14ac:dyDescent="0.2">
      <c r="B327" t="s">
        <v>279</v>
      </c>
      <c r="C327">
        <v>2704</v>
      </c>
      <c r="D327">
        <v>2698</v>
      </c>
      <c r="E327">
        <v>2694</v>
      </c>
      <c r="F327">
        <v>2677</v>
      </c>
      <c r="G327">
        <v>2732</v>
      </c>
      <c r="H327">
        <v>2755</v>
      </c>
      <c r="I327">
        <v>2778</v>
      </c>
      <c r="J327">
        <v>2778</v>
      </c>
      <c r="K327">
        <v>2775</v>
      </c>
      <c r="L327">
        <v>2782</v>
      </c>
      <c r="M327">
        <v>2819</v>
      </c>
      <c r="N327">
        <v>2864</v>
      </c>
      <c r="O327" s="173">
        <f t="shared" ref="O327:O335" si="79">SUM(C327:N327)/12</f>
        <v>2754.6666666666665</v>
      </c>
      <c r="P327" s="173">
        <f t="shared" si="77"/>
        <v>264.41666666666652</v>
      </c>
      <c r="Q327" s="177">
        <f t="shared" si="78"/>
        <v>0.10618077167620379</v>
      </c>
    </row>
    <row r="328" spans="2:17" x14ac:dyDescent="0.2">
      <c r="B328" t="s">
        <v>317</v>
      </c>
      <c r="C328">
        <v>2871</v>
      </c>
      <c r="D328">
        <v>2904</v>
      </c>
      <c r="E328">
        <v>2884</v>
      </c>
      <c r="F328">
        <v>2895</v>
      </c>
      <c r="G328">
        <v>2826</v>
      </c>
      <c r="H328">
        <v>2865</v>
      </c>
      <c r="I328">
        <v>2853</v>
      </c>
      <c r="J328">
        <v>2903</v>
      </c>
      <c r="K328">
        <v>2885</v>
      </c>
      <c r="L328">
        <v>2910</v>
      </c>
      <c r="M328">
        <v>2930</v>
      </c>
      <c r="N328">
        <v>2884</v>
      </c>
      <c r="O328" s="173">
        <f t="shared" si="79"/>
        <v>2884.1666666666665</v>
      </c>
      <c r="P328" s="173">
        <f t="shared" si="77"/>
        <v>129.5</v>
      </c>
      <c r="Q328" s="177">
        <f t="shared" si="78"/>
        <v>4.7011132623426911E-2</v>
      </c>
    </row>
    <row r="329" spans="2:17" x14ac:dyDescent="0.2">
      <c r="B329" t="s">
        <v>338</v>
      </c>
      <c r="C329">
        <v>2896</v>
      </c>
      <c r="D329">
        <v>2980</v>
      </c>
      <c r="E329">
        <v>2969</v>
      </c>
      <c r="F329">
        <v>2961</v>
      </c>
      <c r="G329">
        <v>3022</v>
      </c>
      <c r="H329">
        <v>3037</v>
      </c>
      <c r="I329">
        <v>3049</v>
      </c>
      <c r="J329">
        <v>3076</v>
      </c>
      <c r="K329">
        <v>3088</v>
      </c>
      <c r="L329">
        <v>3074</v>
      </c>
      <c r="M329">
        <v>3058</v>
      </c>
      <c r="N329">
        <v>2954</v>
      </c>
      <c r="O329" s="173">
        <f t="shared" si="79"/>
        <v>3013.6666666666665</v>
      </c>
      <c r="P329" s="173">
        <f t="shared" si="77"/>
        <v>129.5</v>
      </c>
      <c r="Q329" s="177">
        <f t="shared" si="78"/>
        <v>4.4900317827217567E-2</v>
      </c>
    </row>
    <row r="330" spans="2:17" x14ac:dyDescent="0.2">
      <c r="B330" t="s">
        <v>411</v>
      </c>
      <c r="C330">
        <v>3027</v>
      </c>
      <c r="D330">
        <v>3039</v>
      </c>
      <c r="E330">
        <v>3034</v>
      </c>
      <c r="F330">
        <v>3040</v>
      </c>
      <c r="G330">
        <v>3022</v>
      </c>
      <c r="H330">
        <v>3057</v>
      </c>
      <c r="I330">
        <v>3074</v>
      </c>
      <c r="J330">
        <v>3088</v>
      </c>
      <c r="K330">
        <v>3056</v>
      </c>
      <c r="L330">
        <v>3094</v>
      </c>
      <c r="M330">
        <v>3138</v>
      </c>
      <c r="N330">
        <v>3130</v>
      </c>
      <c r="O330" s="173">
        <f t="shared" si="79"/>
        <v>3066.5833333333335</v>
      </c>
      <c r="P330" s="173">
        <f t="shared" si="77"/>
        <v>52.91666666666697</v>
      </c>
      <c r="Q330" s="177">
        <f t="shared" si="78"/>
        <v>1.7558898351952318E-2</v>
      </c>
    </row>
    <row r="331" spans="2:17" x14ac:dyDescent="0.2">
      <c r="B331" t="s">
        <v>445</v>
      </c>
      <c r="C331">
        <v>3123</v>
      </c>
      <c r="D331">
        <v>3065</v>
      </c>
      <c r="E331">
        <v>3115</v>
      </c>
      <c r="F331">
        <v>3134</v>
      </c>
      <c r="G331">
        <v>3160</v>
      </c>
      <c r="H331">
        <v>3165</v>
      </c>
      <c r="I331">
        <v>3166</v>
      </c>
      <c r="J331">
        <v>3187</v>
      </c>
      <c r="K331">
        <v>3069</v>
      </c>
      <c r="L331">
        <v>3020</v>
      </c>
      <c r="M331">
        <v>3040</v>
      </c>
      <c r="N331">
        <v>3070</v>
      </c>
      <c r="O331" s="173">
        <f t="shared" si="79"/>
        <v>3109.5</v>
      </c>
      <c r="P331" s="173">
        <f t="shared" si="77"/>
        <v>42.916666666666515</v>
      </c>
      <c r="Q331" s="177">
        <f t="shared" si="78"/>
        <v>1.3994945514823722E-2</v>
      </c>
    </row>
    <row r="332" spans="2:17" x14ac:dyDescent="0.2">
      <c r="B332" t="s">
        <v>510</v>
      </c>
      <c r="C332">
        <v>3068</v>
      </c>
      <c r="D332">
        <v>3065</v>
      </c>
      <c r="E332">
        <v>3103</v>
      </c>
      <c r="F332">
        <v>3034</v>
      </c>
      <c r="G332">
        <v>3036</v>
      </c>
      <c r="H332">
        <v>3045</v>
      </c>
      <c r="I332">
        <v>3049</v>
      </c>
      <c r="J332">
        <v>3041</v>
      </c>
      <c r="K332">
        <v>2986</v>
      </c>
      <c r="L332">
        <v>2936</v>
      </c>
      <c r="M332">
        <v>2897</v>
      </c>
      <c r="N332">
        <v>2906</v>
      </c>
      <c r="O332" s="173">
        <f t="shared" si="79"/>
        <v>3013.8333333333335</v>
      </c>
      <c r="P332" s="173">
        <f t="shared" si="77"/>
        <v>-95.666666666666515</v>
      </c>
      <c r="Q332" s="177">
        <f>SUM(P332/O331)</f>
        <v>-3.0765932357828114E-2</v>
      </c>
    </row>
    <row r="333" spans="2:17" x14ac:dyDescent="0.2">
      <c r="B333" t="s">
        <v>546</v>
      </c>
      <c r="C333">
        <v>2911</v>
      </c>
      <c r="D333">
        <v>2880</v>
      </c>
      <c r="E333">
        <v>2853</v>
      </c>
      <c r="F333">
        <v>2835</v>
      </c>
      <c r="G333">
        <v>2828</v>
      </c>
      <c r="H333">
        <v>2758</v>
      </c>
      <c r="I333">
        <v>2810</v>
      </c>
      <c r="J333">
        <v>2815</v>
      </c>
      <c r="K333">
        <v>2770</v>
      </c>
      <c r="L333">
        <v>2722</v>
      </c>
      <c r="M333">
        <v>2761</v>
      </c>
      <c r="N333">
        <v>2747</v>
      </c>
      <c r="O333" s="173">
        <f t="shared" si="79"/>
        <v>2807.5</v>
      </c>
      <c r="P333" s="173">
        <f t="shared" si="77"/>
        <v>-206.33333333333348</v>
      </c>
      <c r="Q333" s="177">
        <f>SUM(P333/O332)</f>
        <v>-6.846209146712387E-2</v>
      </c>
    </row>
    <row r="334" spans="2:17" x14ac:dyDescent="0.2">
      <c r="B334" t="s">
        <v>547</v>
      </c>
      <c r="C334">
        <v>2607</v>
      </c>
      <c r="D334">
        <v>2654</v>
      </c>
      <c r="E334">
        <v>2602</v>
      </c>
      <c r="F334">
        <v>2660</v>
      </c>
      <c r="G334">
        <v>2612</v>
      </c>
      <c r="H334">
        <v>2542</v>
      </c>
      <c r="I334">
        <v>2515</v>
      </c>
      <c r="J334">
        <v>2539</v>
      </c>
      <c r="K334">
        <v>2614</v>
      </c>
      <c r="L334">
        <v>2633</v>
      </c>
      <c r="M334">
        <v>2586</v>
      </c>
      <c r="N334">
        <v>2590</v>
      </c>
      <c r="O334" s="173">
        <f t="shared" si="79"/>
        <v>2596.1666666666665</v>
      </c>
      <c r="P334" s="173">
        <f>SUM(O334-O333)</f>
        <v>-211.33333333333348</v>
      </c>
      <c r="Q334" s="177">
        <f>SUM(P334/O333)</f>
        <v>-7.5274562184624569E-2</v>
      </c>
    </row>
    <row r="335" spans="2:17" x14ac:dyDescent="0.2">
      <c r="B335" t="s">
        <v>817</v>
      </c>
      <c r="C335">
        <v>2481</v>
      </c>
      <c r="D335">
        <v>2502</v>
      </c>
      <c r="E335">
        <v>2560</v>
      </c>
      <c r="F335">
        <v>2577</v>
      </c>
      <c r="G335">
        <v>2485</v>
      </c>
      <c r="H335">
        <v>2505</v>
      </c>
      <c r="I335">
        <v>2521</v>
      </c>
      <c r="J335">
        <v>2517</v>
      </c>
      <c r="K335">
        <v>2505</v>
      </c>
      <c r="L335">
        <v>2411</v>
      </c>
      <c r="M335">
        <v>2387</v>
      </c>
      <c r="N335">
        <v>2391</v>
      </c>
      <c r="O335" s="173">
        <f t="shared" si="79"/>
        <v>2486.8333333333335</v>
      </c>
      <c r="P335" s="173">
        <f>SUM(O335-O334)</f>
        <v>-109.33333333333303</v>
      </c>
      <c r="Q335" s="177">
        <f>SUM(P335/O334)</f>
        <v>-4.2113372279642951E-2</v>
      </c>
    </row>
    <row r="336" spans="2:17" x14ac:dyDescent="0.2">
      <c r="B336" t="s">
        <v>818</v>
      </c>
      <c r="C336">
        <v>2371</v>
      </c>
      <c r="D336">
        <v>2284</v>
      </c>
      <c r="O336" s="173"/>
      <c r="P336" s="173"/>
      <c r="Q336" s="177"/>
    </row>
    <row r="337" spans="1:17" ht="25.5" x14ac:dyDescent="0.2">
      <c r="A337" s="175" t="s">
        <v>412</v>
      </c>
      <c r="B337" s="176" t="s">
        <v>392</v>
      </c>
      <c r="C337" s="178" t="s">
        <v>393</v>
      </c>
      <c r="D337" s="178" t="s">
        <v>394</v>
      </c>
      <c r="E337" s="178" t="s">
        <v>395</v>
      </c>
      <c r="F337" s="178" t="s">
        <v>396</v>
      </c>
      <c r="G337" s="178" t="s">
        <v>397</v>
      </c>
      <c r="H337" s="178" t="s">
        <v>398</v>
      </c>
      <c r="I337" s="178" t="s">
        <v>399</v>
      </c>
      <c r="J337" s="178" t="s">
        <v>400</v>
      </c>
      <c r="K337" s="178" t="s">
        <v>401</v>
      </c>
      <c r="L337" s="178" t="s">
        <v>402</v>
      </c>
      <c r="M337" s="178" t="s">
        <v>403</v>
      </c>
      <c r="N337" s="178" t="s">
        <v>404</v>
      </c>
    </row>
    <row r="338" spans="1:17" x14ac:dyDescent="0.2">
      <c r="B338" t="s">
        <v>408</v>
      </c>
      <c r="C338">
        <v>83</v>
      </c>
      <c r="D338">
        <v>80</v>
      </c>
      <c r="E338">
        <v>74</v>
      </c>
      <c r="F338">
        <v>78</v>
      </c>
      <c r="G338">
        <v>79</v>
      </c>
      <c r="H338">
        <v>81</v>
      </c>
      <c r="I338">
        <v>82</v>
      </c>
      <c r="J338">
        <v>83</v>
      </c>
      <c r="K338">
        <v>82</v>
      </c>
      <c r="L338">
        <v>83</v>
      </c>
      <c r="M338">
        <v>85</v>
      </c>
      <c r="N338">
        <v>87</v>
      </c>
      <c r="O338" s="173">
        <f t="shared" ref="O338:O346" si="80">SUM(C338:N338)/12</f>
        <v>81.416666666666671</v>
      </c>
      <c r="P338" s="173"/>
    </row>
    <row r="339" spans="1:17" x14ac:dyDescent="0.2">
      <c r="B339" t="s">
        <v>409</v>
      </c>
      <c r="C339">
        <v>92</v>
      </c>
      <c r="D339">
        <v>93</v>
      </c>
      <c r="E339">
        <v>94</v>
      </c>
      <c r="F339">
        <v>97</v>
      </c>
      <c r="G339">
        <v>98</v>
      </c>
      <c r="H339">
        <v>95</v>
      </c>
      <c r="I339">
        <v>89</v>
      </c>
      <c r="J339">
        <v>93</v>
      </c>
      <c r="K339">
        <v>90</v>
      </c>
      <c r="L339">
        <v>97</v>
      </c>
      <c r="M339">
        <v>99</v>
      </c>
      <c r="N339">
        <v>92</v>
      </c>
      <c r="O339" s="173">
        <f t="shared" si="80"/>
        <v>94.083333333333329</v>
      </c>
      <c r="P339" s="173">
        <f t="shared" ref="P339:P352" si="81">SUM(O339-O338)</f>
        <v>12.666666666666657</v>
      </c>
      <c r="Q339" s="177">
        <f t="shared" ref="Q339:Q352" si="82">SUM(P339/O338)</f>
        <v>0.15557830092118718</v>
      </c>
    </row>
    <row r="340" spans="1:17" x14ac:dyDescent="0.2">
      <c r="B340" t="s">
        <v>410</v>
      </c>
      <c r="C340">
        <v>90</v>
      </c>
      <c r="D340">
        <v>91</v>
      </c>
      <c r="E340">
        <v>92</v>
      </c>
      <c r="F340">
        <v>100</v>
      </c>
      <c r="G340">
        <v>99</v>
      </c>
      <c r="H340">
        <v>111</v>
      </c>
      <c r="I340">
        <v>102</v>
      </c>
      <c r="J340">
        <v>94</v>
      </c>
      <c r="K340">
        <v>96</v>
      </c>
      <c r="L340">
        <v>98</v>
      </c>
      <c r="M340">
        <v>93</v>
      </c>
      <c r="N340">
        <v>89</v>
      </c>
      <c r="O340" s="173">
        <f t="shared" si="80"/>
        <v>96.25</v>
      </c>
      <c r="P340" s="173">
        <f t="shared" si="81"/>
        <v>2.1666666666666714</v>
      </c>
      <c r="Q340" s="177">
        <f t="shared" si="82"/>
        <v>2.3029229406554524E-2</v>
      </c>
    </row>
    <row r="341" spans="1:17" x14ac:dyDescent="0.2">
      <c r="B341" t="s">
        <v>244</v>
      </c>
      <c r="C341">
        <v>72</v>
      </c>
      <c r="D341">
        <v>74</v>
      </c>
      <c r="E341">
        <v>73</v>
      </c>
      <c r="F341">
        <v>73</v>
      </c>
      <c r="G341">
        <v>73</v>
      </c>
      <c r="H341">
        <v>73</v>
      </c>
      <c r="I341">
        <v>73</v>
      </c>
      <c r="J341">
        <v>65</v>
      </c>
      <c r="K341">
        <v>65</v>
      </c>
      <c r="L341">
        <v>65</v>
      </c>
      <c r="M341">
        <v>65</v>
      </c>
      <c r="N341">
        <v>60</v>
      </c>
      <c r="O341" s="173">
        <f t="shared" si="80"/>
        <v>69.25</v>
      </c>
      <c r="P341" s="173">
        <f t="shared" si="81"/>
        <v>-27</v>
      </c>
      <c r="Q341" s="177">
        <f t="shared" si="82"/>
        <v>-0.2805194805194805</v>
      </c>
    </row>
    <row r="342" spans="1:17" x14ac:dyDescent="0.2">
      <c r="B342" t="s">
        <v>243</v>
      </c>
      <c r="C342">
        <v>59</v>
      </c>
      <c r="D342">
        <v>58</v>
      </c>
      <c r="E342">
        <v>59</v>
      </c>
      <c r="F342">
        <v>60</v>
      </c>
      <c r="G342">
        <v>56</v>
      </c>
      <c r="H342">
        <v>54</v>
      </c>
      <c r="I342">
        <v>54</v>
      </c>
      <c r="J342">
        <v>51</v>
      </c>
      <c r="K342">
        <v>53</v>
      </c>
      <c r="L342">
        <v>59</v>
      </c>
      <c r="M342">
        <v>64</v>
      </c>
      <c r="N342">
        <v>62</v>
      </c>
      <c r="O342" s="173">
        <f t="shared" si="80"/>
        <v>57.416666666666664</v>
      </c>
      <c r="P342" s="173">
        <f t="shared" si="81"/>
        <v>-11.833333333333336</v>
      </c>
      <c r="Q342" s="177">
        <f t="shared" si="82"/>
        <v>-0.17087845968712398</v>
      </c>
    </row>
    <row r="343" spans="1:17" x14ac:dyDescent="0.2">
      <c r="B343" t="s">
        <v>264</v>
      </c>
      <c r="C343">
        <v>66</v>
      </c>
      <c r="D343">
        <v>68</v>
      </c>
      <c r="E343">
        <v>66</v>
      </c>
      <c r="F343">
        <v>65</v>
      </c>
      <c r="G343">
        <v>63</v>
      </c>
      <c r="H343">
        <v>68</v>
      </c>
      <c r="I343">
        <v>63</v>
      </c>
      <c r="J343">
        <v>57</v>
      </c>
      <c r="K343">
        <v>45</v>
      </c>
      <c r="L343">
        <v>45</v>
      </c>
      <c r="M343">
        <v>47</v>
      </c>
      <c r="N343">
        <v>49</v>
      </c>
      <c r="O343" s="173">
        <f t="shared" si="80"/>
        <v>58.5</v>
      </c>
      <c r="P343" s="173">
        <f t="shared" si="81"/>
        <v>1.0833333333333357</v>
      </c>
      <c r="Q343" s="177">
        <f t="shared" si="82"/>
        <v>1.8867924528301928E-2</v>
      </c>
    </row>
    <row r="344" spans="1:17" x14ac:dyDescent="0.2">
      <c r="B344" t="s">
        <v>274</v>
      </c>
      <c r="C344">
        <v>47</v>
      </c>
      <c r="D344">
        <v>45</v>
      </c>
      <c r="E344">
        <v>45</v>
      </c>
      <c r="F344">
        <v>47</v>
      </c>
      <c r="G344">
        <v>47</v>
      </c>
      <c r="H344">
        <v>42</v>
      </c>
      <c r="I344">
        <v>40</v>
      </c>
      <c r="J344">
        <v>42</v>
      </c>
      <c r="K344">
        <v>47</v>
      </c>
      <c r="L344">
        <v>46</v>
      </c>
      <c r="M344">
        <v>41</v>
      </c>
      <c r="N344">
        <v>39</v>
      </c>
      <c r="O344" s="173">
        <f t="shared" si="80"/>
        <v>44</v>
      </c>
      <c r="P344" s="173">
        <f t="shared" si="81"/>
        <v>-14.5</v>
      </c>
      <c r="Q344" s="177">
        <f t="shared" si="82"/>
        <v>-0.24786324786324787</v>
      </c>
    </row>
    <row r="345" spans="1:17" x14ac:dyDescent="0.2">
      <c r="B345" t="s">
        <v>277</v>
      </c>
      <c r="C345">
        <v>40</v>
      </c>
      <c r="D345">
        <v>40</v>
      </c>
      <c r="E345">
        <v>40</v>
      </c>
      <c r="F345">
        <v>43</v>
      </c>
      <c r="G345">
        <v>37</v>
      </c>
      <c r="H345">
        <v>38</v>
      </c>
      <c r="I345">
        <v>37</v>
      </c>
      <c r="J345">
        <v>39</v>
      </c>
      <c r="K345">
        <v>41</v>
      </c>
      <c r="L345">
        <v>51</v>
      </c>
      <c r="M345">
        <v>50</v>
      </c>
      <c r="N345">
        <v>37</v>
      </c>
      <c r="O345" s="173">
        <f t="shared" si="80"/>
        <v>41.083333333333336</v>
      </c>
      <c r="P345" s="173">
        <f t="shared" si="81"/>
        <v>-2.9166666666666643</v>
      </c>
      <c r="Q345" s="177">
        <f t="shared" si="82"/>
        <v>-6.6287878787878729E-2</v>
      </c>
    </row>
    <row r="346" spans="1:17" x14ac:dyDescent="0.2">
      <c r="B346" t="s">
        <v>278</v>
      </c>
      <c r="C346">
        <v>39</v>
      </c>
      <c r="D346">
        <v>39</v>
      </c>
      <c r="E346">
        <v>44</v>
      </c>
      <c r="F346">
        <v>39</v>
      </c>
      <c r="G346">
        <v>42</v>
      </c>
      <c r="H346">
        <v>41</v>
      </c>
      <c r="I346">
        <v>40</v>
      </c>
      <c r="J346">
        <v>37</v>
      </c>
      <c r="K346">
        <v>36</v>
      </c>
      <c r="L346">
        <v>36</v>
      </c>
      <c r="M346">
        <v>40</v>
      </c>
      <c r="N346">
        <v>41</v>
      </c>
      <c r="O346" s="173">
        <f t="shared" si="80"/>
        <v>39.5</v>
      </c>
      <c r="P346" s="173">
        <f t="shared" si="81"/>
        <v>-1.5833333333333357</v>
      </c>
      <c r="Q346" s="177">
        <f t="shared" si="82"/>
        <v>-3.8539553752535552E-2</v>
      </c>
    </row>
    <row r="347" spans="1:17" x14ac:dyDescent="0.2">
      <c r="B347" t="s">
        <v>279</v>
      </c>
      <c r="C347">
        <v>32</v>
      </c>
      <c r="D347">
        <v>34</v>
      </c>
      <c r="E347">
        <v>31</v>
      </c>
      <c r="F347">
        <v>32</v>
      </c>
      <c r="G347">
        <v>33</v>
      </c>
      <c r="H347">
        <v>31</v>
      </c>
      <c r="I347">
        <v>31</v>
      </c>
      <c r="J347">
        <v>31</v>
      </c>
      <c r="K347">
        <v>34</v>
      </c>
      <c r="L347">
        <v>36</v>
      </c>
      <c r="M347">
        <v>40</v>
      </c>
      <c r="N347">
        <v>39</v>
      </c>
      <c r="O347" s="173">
        <f>SUM(C347:N347)/12</f>
        <v>33.666666666666664</v>
      </c>
      <c r="P347" s="173">
        <f t="shared" si="81"/>
        <v>-5.8333333333333357</v>
      </c>
      <c r="Q347" s="177">
        <f t="shared" si="82"/>
        <v>-0.14767932489451482</v>
      </c>
    </row>
    <row r="348" spans="1:17" x14ac:dyDescent="0.2">
      <c r="B348" t="s">
        <v>317</v>
      </c>
      <c r="C348">
        <v>43</v>
      </c>
      <c r="D348">
        <v>43</v>
      </c>
      <c r="E348">
        <v>41</v>
      </c>
      <c r="F348">
        <v>0</v>
      </c>
      <c r="G348">
        <v>0</v>
      </c>
      <c r="H348">
        <v>0</v>
      </c>
      <c r="I348">
        <v>35</v>
      </c>
      <c r="J348">
        <v>35</v>
      </c>
      <c r="K348">
        <v>38</v>
      </c>
      <c r="L348">
        <v>36</v>
      </c>
      <c r="M348">
        <v>35</v>
      </c>
      <c r="N348">
        <v>32</v>
      </c>
      <c r="O348" s="173">
        <f>SUM(C348:N348)/9</f>
        <v>37.555555555555557</v>
      </c>
      <c r="P348" s="173">
        <f t="shared" si="81"/>
        <v>3.8888888888888928</v>
      </c>
      <c r="Q348" s="177">
        <f t="shared" si="82"/>
        <v>0.11551155115511563</v>
      </c>
    </row>
    <row r="349" spans="1:17" x14ac:dyDescent="0.2">
      <c r="B349" t="s">
        <v>338</v>
      </c>
      <c r="C349">
        <v>32</v>
      </c>
      <c r="D349">
        <v>33</v>
      </c>
      <c r="E349">
        <v>46</v>
      </c>
      <c r="F349">
        <v>60</v>
      </c>
      <c r="G349">
        <v>63</v>
      </c>
      <c r="H349">
        <v>62</v>
      </c>
      <c r="I349">
        <v>63</v>
      </c>
      <c r="J349">
        <v>64</v>
      </c>
      <c r="K349">
        <v>61</v>
      </c>
      <c r="L349">
        <v>60</v>
      </c>
      <c r="M349">
        <v>67</v>
      </c>
      <c r="N349">
        <v>70</v>
      </c>
      <c r="O349" s="173">
        <f t="shared" ref="O349:O355" si="83">SUM(C349:N349)/12</f>
        <v>56.75</v>
      </c>
      <c r="P349" s="173">
        <f t="shared" si="81"/>
        <v>19.194444444444443</v>
      </c>
      <c r="Q349" s="177">
        <f t="shared" si="82"/>
        <v>0.51109467455621294</v>
      </c>
    </row>
    <row r="350" spans="1:17" x14ac:dyDescent="0.2">
      <c r="B350" t="s">
        <v>411</v>
      </c>
      <c r="C350">
        <v>68</v>
      </c>
      <c r="D350">
        <v>65</v>
      </c>
      <c r="E350">
        <v>62</v>
      </c>
      <c r="F350">
        <v>61</v>
      </c>
      <c r="G350">
        <v>65</v>
      </c>
      <c r="H350">
        <v>66</v>
      </c>
      <c r="I350">
        <v>68</v>
      </c>
      <c r="J350">
        <v>66</v>
      </c>
      <c r="K350">
        <v>70</v>
      </c>
      <c r="L350">
        <v>68</v>
      </c>
      <c r="M350">
        <v>65</v>
      </c>
      <c r="N350">
        <v>68</v>
      </c>
      <c r="O350" s="173">
        <f t="shared" si="83"/>
        <v>66</v>
      </c>
      <c r="P350" s="173">
        <f t="shared" si="81"/>
        <v>9.25</v>
      </c>
      <c r="Q350" s="177">
        <f t="shared" si="82"/>
        <v>0.16299559471365638</v>
      </c>
    </row>
    <row r="351" spans="1:17" x14ac:dyDescent="0.2">
      <c r="B351" t="s">
        <v>445</v>
      </c>
      <c r="C351">
        <v>70</v>
      </c>
      <c r="D351">
        <v>71</v>
      </c>
      <c r="E351">
        <v>74</v>
      </c>
      <c r="F351">
        <v>74</v>
      </c>
      <c r="G351">
        <v>74</v>
      </c>
      <c r="H351">
        <v>79</v>
      </c>
      <c r="I351">
        <v>77</v>
      </c>
      <c r="J351">
        <v>80</v>
      </c>
      <c r="K351">
        <v>70</v>
      </c>
      <c r="L351">
        <v>66</v>
      </c>
      <c r="M351">
        <v>65</v>
      </c>
      <c r="N351">
        <v>57</v>
      </c>
      <c r="O351" s="173">
        <f t="shared" si="83"/>
        <v>71.416666666666671</v>
      </c>
      <c r="P351" s="173">
        <f t="shared" si="81"/>
        <v>5.4166666666666714</v>
      </c>
      <c r="Q351" s="177">
        <f t="shared" si="82"/>
        <v>8.2070707070707141E-2</v>
      </c>
    </row>
    <row r="352" spans="1:17" x14ac:dyDescent="0.2">
      <c r="B352" t="s">
        <v>510</v>
      </c>
      <c r="C352">
        <v>55</v>
      </c>
      <c r="D352">
        <v>70</v>
      </c>
      <c r="E352">
        <v>75</v>
      </c>
      <c r="F352">
        <v>77</v>
      </c>
      <c r="G352">
        <v>78</v>
      </c>
      <c r="H352">
        <v>51</v>
      </c>
      <c r="I352">
        <v>46</v>
      </c>
      <c r="J352">
        <v>50</v>
      </c>
      <c r="K352">
        <v>52</v>
      </c>
      <c r="L352">
        <v>52</v>
      </c>
      <c r="M352">
        <v>53</v>
      </c>
      <c r="N352">
        <v>59</v>
      </c>
      <c r="O352" s="173">
        <f t="shared" si="83"/>
        <v>59.833333333333336</v>
      </c>
      <c r="P352" s="173">
        <f t="shared" si="81"/>
        <v>-11.583333333333336</v>
      </c>
      <c r="Q352" s="177">
        <f t="shared" si="82"/>
        <v>-0.16219369894982499</v>
      </c>
    </row>
    <row r="353" spans="1:18" x14ac:dyDescent="0.2">
      <c r="B353" t="s">
        <v>546</v>
      </c>
      <c r="C353">
        <v>56</v>
      </c>
      <c r="D353">
        <v>56</v>
      </c>
      <c r="E353">
        <v>56</v>
      </c>
      <c r="F353">
        <v>60</v>
      </c>
      <c r="G353">
        <v>51</v>
      </c>
      <c r="H353">
        <v>50</v>
      </c>
      <c r="I353">
        <v>54</v>
      </c>
      <c r="J353">
        <v>54</v>
      </c>
      <c r="K353">
        <v>7</v>
      </c>
      <c r="L353">
        <v>7</v>
      </c>
      <c r="M353">
        <v>8</v>
      </c>
      <c r="N353">
        <v>8</v>
      </c>
      <c r="O353" s="173">
        <f t="shared" si="83"/>
        <v>38.916666666666664</v>
      </c>
      <c r="P353" s="173">
        <f>SUM(O353-O352)</f>
        <v>-20.916666666666671</v>
      </c>
      <c r="Q353" s="177">
        <f>SUM(P353/O352)</f>
        <v>-0.34958217270194991</v>
      </c>
    </row>
    <row r="354" spans="1:18" x14ac:dyDescent="0.2">
      <c r="B354" t="s">
        <v>547</v>
      </c>
      <c r="C354">
        <v>8</v>
      </c>
      <c r="D354">
        <v>7</v>
      </c>
      <c r="E354">
        <v>7</v>
      </c>
      <c r="F354">
        <v>6</v>
      </c>
      <c r="G354">
        <v>4</v>
      </c>
      <c r="H354">
        <v>4</v>
      </c>
      <c r="I354">
        <v>5</v>
      </c>
      <c r="J354">
        <v>5</v>
      </c>
      <c r="K354">
        <v>5</v>
      </c>
      <c r="L354">
        <v>5</v>
      </c>
      <c r="M354">
        <v>32</v>
      </c>
      <c r="N354">
        <v>29</v>
      </c>
      <c r="O354" s="173">
        <f t="shared" si="83"/>
        <v>9.75</v>
      </c>
      <c r="P354" s="173">
        <f>SUM(O354-O353)</f>
        <v>-29.166666666666664</v>
      </c>
      <c r="Q354" s="177">
        <f>SUM(P354/O353)</f>
        <v>-0.74946466809421841</v>
      </c>
    </row>
    <row r="355" spans="1:18" x14ac:dyDescent="0.2">
      <c r="B355" t="s">
        <v>817</v>
      </c>
      <c r="C355">
        <v>30</v>
      </c>
      <c r="D355">
        <v>32</v>
      </c>
      <c r="E355">
        <v>34</v>
      </c>
      <c r="F355">
        <v>35</v>
      </c>
      <c r="G355">
        <v>33</v>
      </c>
      <c r="H355">
        <v>31</v>
      </c>
      <c r="I355">
        <v>31</v>
      </c>
      <c r="J355">
        <v>29</v>
      </c>
      <c r="K355">
        <v>29</v>
      </c>
      <c r="L355">
        <v>27</v>
      </c>
      <c r="M355">
        <v>26</v>
      </c>
      <c r="N355">
        <v>24</v>
      </c>
      <c r="O355" s="173">
        <f t="shared" si="83"/>
        <v>30.083333333333332</v>
      </c>
      <c r="P355" s="173">
        <f>SUM(O355-O354)</f>
        <v>20.333333333333332</v>
      </c>
      <c r="Q355" s="177">
        <f>SUM(P355/O354)</f>
        <v>2.0854700854700852</v>
      </c>
    </row>
    <row r="356" spans="1:18" x14ac:dyDescent="0.2">
      <c r="B356" t="s">
        <v>818</v>
      </c>
      <c r="C356">
        <v>47</v>
      </c>
      <c r="D356">
        <v>45</v>
      </c>
      <c r="O356" s="173"/>
      <c r="P356" s="173"/>
      <c r="Q356" s="177"/>
      <c r="R356" t="s">
        <v>819</v>
      </c>
    </row>
    <row r="357" spans="1:18" x14ac:dyDescent="0.2">
      <c r="A357" s="520"/>
      <c r="B357" s="520"/>
      <c r="C357" s="520"/>
      <c r="D357" s="520"/>
      <c r="E357" s="520"/>
      <c r="F357" s="520"/>
      <c r="G357" s="520"/>
      <c r="H357" s="520"/>
      <c r="I357" s="520"/>
      <c r="J357" s="520"/>
      <c r="K357" s="520"/>
      <c r="L357" s="520"/>
      <c r="M357" s="520"/>
      <c r="N357" s="520"/>
      <c r="O357" s="520"/>
      <c r="P357" s="520"/>
      <c r="Q357" s="520"/>
    </row>
    <row r="358" spans="1:18" ht="25.5" x14ac:dyDescent="0.2">
      <c r="A358" s="175" t="s">
        <v>413</v>
      </c>
      <c r="B358" s="176" t="s">
        <v>392</v>
      </c>
      <c r="C358" s="178" t="s">
        <v>393</v>
      </c>
      <c r="D358" s="178" t="s">
        <v>394</v>
      </c>
      <c r="E358" s="178" t="s">
        <v>395</v>
      </c>
      <c r="F358" s="178" t="s">
        <v>396</v>
      </c>
      <c r="G358" s="178" t="s">
        <v>397</v>
      </c>
      <c r="H358" s="178" t="s">
        <v>398</v>
      </c>
      <c r="I358" s="178" t="s">
        <v>399</v>
      </c>
      <c r="J358" s="178" t="s">
        <v>400</v>
      </c>
      <c r="K358" s="178" t="s">
        <v>401</v>
      </c>
      <c r="L358" s="178" t="s">
        <v>402</v>
      </c>
      <c r="M358" s="178" t="s">
        <v>403</v>
      </c>
      <c r="N358" s="178" t="s">
        <v>404</v>
      </c>
    </row>
    <row r="359" spans="1:18" x14ac:dyDescent="0.2">
      <c r="B359" t="s">
        <v>408</v>
      </c>
      <c r="C359">
        <v>305</v>
      </c>
      <c r="D359">
        <v>299</v>
      </c>
      <c r="E359">
        <v>289</v>
      </c>
      <c r="F359">
        <v>276</v>
      </c>
      <c r="G359">
        <v>277</v>
      </c>
      <c r="H359">
        <v>295</v>
      </c>
      <c r="I359">
        <v>283</v>
      </c>
      <c r="J359">
        <v>273</v>
      </c>
      <c r="K359">
        <v>259</v>
      </c>
      <c r="L359">
        <v>249</v>
      </c>
      <c r="M359">
        <v>241</v>
      </c>
      <c r="N359">
        <v>237</v>
      </c>
      <c r="O359" s="173">
        <f t="shared" ref="O359:O376" si="84">SUM(C359:N359)/12</f>
        <v>273.58333333333331</v>
      </c>
      <c r="P359" s="173"/>
    </row>
    <row r="360" spans="1:18" x14ac:dyDescent="0.2">
      <c r="B360" t="s">
        <v>409</v>
      </c>
      <c r="C360">
        <v>237</v>
      </c>
      <c r="D360">
        <v>230</v>
      </c>
      <c r="E360">
        <v>230</v>
      </c>
      <c r="F360">
        <v>230</v>
      </c>
      <c r="G360">
        <v>231</v>
      </c>
      <c r="H360">
        <v>215</v>
      </c>
      <c r="I360">
        <v>218</v>
      </c>
      <c r="J360">
        <v>212</v>
      </c>
      <c r="K360">
        <v>214</v>
      </c>
      <c r="L360">
        <v>217</v>
      </c>
      <c r="M360">
        <v>220</v>
      </c>
      <c r="N360">
        <v>218</v>
      </c>
      <c r="O360" s="173">
        <f t="shared" si="84"/>
        <v>222.66666666666666</v>
      </c>
      <c r="P360" s="173">
        <f t="shared" ref="P360:P373" si="85">SUM(O360-O359)</f>
        <v>-50.916666666666657</v>
      </c>
      <c r="Q360" s="177">
        <f t="shared" ref="Q360:Q373" si="86">SUM(P360/O359)</f>
        <v>-0.18611026500152297</v>
      </c>
    </row>
    <row r="361" spans="1:18" x14ac:dyDescent="0.2">
      <c r="B361" t="s">
        <v>410</v>
      </c>
      <c r="C361">
        <v>231</v>
      </c>
      <c r="D361">
        <v>230</v>
      </c>
      <c r="E361">
        <v>234</v>
      </c>
      <c r="F361">
        <v>229</v>
      </c>
      <c r="G361">
        <v>230</v>
      </c>
      <c r="H361">
        <v>240</v>
      </c>
      <c r="I361">
        <v>245</v>
      </c>
      <c r="J361">
        <v>250</v>
      </c>
      <c r="K361">
        <v>255</v>
      </c>
      <c r="L361">
        <v>260</v>
      </c>
      <c r="M361">
        <v>265</v>
      </c>
      <c r="N361">
        <v>270</v>
      </c>
      <c r="O361" s="173">
        <f t="shared" si="84"/>
        <v>244.91666666666666</v>
      </c>
      <c r="P361" s="173">
        <f t="shared" si="85"/>
        <v>22.25</v>
      </c>
      <c r="Q361" s="177">
        <f t="shared" si="86"/>
        <v>9.9925149700598806E-2</v>
      </c>
    </row>
    <row r="362" spans="1:18" x14ac:dyDescent="0.2">
      <c r="B362" t="s">
        <v>244</v>
      </c>
      <c r="C362">
        <v>280</v>
      </c>
      <c r="D362">
        <v>237</v>
      </c>
      <c r="E362">
        <v>253</v>
      </c>
      <c r="F362">
        <v>253</v>
      </c>
      <c r="G362">
        <v>253</v>
      </c>
      <c r="H362">
        <v>253</v>
      </c>
      <c r="I362">
        <v>253</v>
      </c>
      <c r="J362">
        <v>253</v>
      </c>
      <c r="K362">
        <v>253</v>
      </c>
      <c r="L362">
        <v>260</v>
      </c>
      <c r="M362">
        <v>265</v>
      </c>
      <c r="N362">
        <v>270</v>
      </c>
      <c r="O362" s="173">
        <f t="shared" si="84"/>
        <v>256.91666666666669</v>
      </c>
      <c r="P362" s="173">
        <f t="shared" si="85"/>
        <v>12.000000000000028</v>
      </c>
      <c r="Q362" s="177">
        <f t="shared" si="86"/>
        <v>4.899625723035058E-2</v>
      </c>
    </row>
    <row r="363" spans="1:18" x14ac:dyDescent="0.2">
      <c r="B363" t="s">
        <v>243</v>
      </c>
      <c r="C363">
        <v>288</v>
      </c>
      <c r="D363">
        <v>261</v>
      </c>
      <c r="E363">
        <v>258</v>
      </c>
      <c r="F363">
        <v>267</v>
      </c>
      <c r="G363">
        <v>259</v>
      </c>
      <c r="H363">
        <v>267</v>
      </c>
      <c r="I363">
        <v>272</v>
      </c>
      <c r="J363">
        <v>273</v>
      </c>
      <c r="K363">
        <v>300</v>
      </c>
      <c r="L363">
        <v>296</v>
      </c>
      <c r="M363">
        <v>319</v>
      </c>
      <c r="N363">
        <v>317</v>
      </c>
      <c r="O363" s="173">
        <f t="shared" si="84"/>
        <v>281.41666666666669</v>
      </c>
      <c r="P363" s="173">
        <f t="shared" si="85"/>
        <v>24.5</v>
      </c>
      <c r="Q363" s="177">
        <f t="shared" si="86"/>
        <v>9.5361660720077845E-2</v>
      </c>
    </row>
    <row r="364" spans="1:18" x14ac:dyDescent="0.2">
      <c r="B364" t="s">
        <v>264</v>
      </c>
      <c r="C364">
        <v>297</v>
      </c>
      <c r="D364">
        <v>306</v>
      </c>
      <c r="E364">
        <v>312</v>
      </c>
      <c r="F364">
        <v>311</v>
      </c>
      <c r="G364">
        <v>312</v>
      </c>
      <c r="H364">
        <v>252</v>
      </c>
      <c r="I364">
        <v>312</v>
      </c>
      <c r="J364">
        <v>314</v>
      </c>
      <c r="K364">
        <v>316</v>
      </c>
      <c r="L364">
        <v>235</v>
      </c>
      <c r="M364">
        <v>248</v>
      </c>
      <c r="N364">
        <v>323</v>
      </c>
      <c r="O364" s="173">
        <f t="shared" si="84"/>
        <v>294.83333333333331</v>
      </c>
      <c r="P364" s="173">
        <f t="shared" si="85"/>
        <v>13.416666666666629</v>
      </c>
      <c r="Q364" s="177">
        <f t="shared" si="86"/>
        <v>4.7675451584246235E-2</v>
      </c>
    </row>
    <row r="365" spans="1:18" x14ac:dyDescent="0.2">
      <c r="B365" t="s">
        <v>274</v>
      </c>
      <c r="C365">
        <v>322</v>
      </c>
      <c r="D365">
        <v>318</v>
      </c>
      <c r="E365">
        <v>302</v>
      </c>
      <c r="F365">
        <v>299</v>
      </c>
      <c r="G365">
        <v>301</v>
      </c>
      <c r="H365">
        <v>296</v>
      </c>
      <c r="I365">
        <v>286</v>
      </c>
      <c r="J365">
        <v>290</v>
      </c>
      <c r="K365">
        <v>283</v>
      </c>
      <c r="L365">
        <v>284</v>
      </c>
      <c r="M365">
        <v>289</v>
      </c>
      <c r="N365">
        <v>279</v>
      </c>
      <c r="O365" s="173">
        <f t="shared" si="84"/>
        <v>295.75</v>
      </c>
      <c r="P365" s="173">
        <f t="shared" si="85"/>
        <v>0.91666666666668561</v>
      </c>
      <c r="Q365" s="177">
        <f t="shared" si="86"/>
        <v>3.109101187111427E-3</v>
      </c>
    </row>
    <row r="366" spans="1:18" x14ac:dyDescent="0.2">
      <c r="B366" t="s">
        <v>277</v>
      </c>
      <c r="C366">
        <v>278</v>
      </c>
      <c r="D366">
        <v>270</v>
      </c>
      <c r="E366">
        <v>262</v>
      </c>
      <c r="F366">
        <v>253</v>
      </c>
      <c r="G366">
        <v>261</v>
      </c>
      <c r="H366">
        <v>259</v>
      </c>
      <c r="I366">
        <v>254</v>
      </c>
      <c r="J366">
        <v>255</v>
      </c>
      <c r="K366">
        <v>249</v>
      </c>
      <c r="L366">
        <v>267</v>
      </c>
      <c r="M366">
        <v>263</v>
      </c>
      <c r="N366">
        <v>250</v>
      </c>
      <c r="O366" s="173">
        <f t="shared" si="84"/>
        <v>260.08333333333331</v>
      </c>
      <c r="P366" s="173">
        <f t="shared" si="85"/>
        <v>-35.666666666666686</v>
      </c>
      <c r="Q366" s="177">
        <f t="shared" si="86"/>
        <v>-0.1205973513665822</v>
      </c>
    </row>
    <row r="367" spans="1:18" x14ac:dyDescent="0.2">
      <c r="B367" t="s">
        <v>278</v>
      </c>
      <c r="C367">
        <v>247</v>
      </c>
      <c r="D367">
        <v>250</v>
      </c>
      <c r="E367">
        <v>240</v>
      </c>
      <c r="F367">
        <v>238</v>
      </c>
      <c r="G367">
        <v>230</v>
      </c>
      <c r="H367">
        <v>228</v>
      </c>
      <c r="I367">
        <v>230</v>
      </c>
      <c r="J367">
        <v>228</v>
      </c>
      <c r="K367">
        <v>226</v>
      </c>
      <c r="L367">
        <v>224</v>
      </c>
      <c r="M367">
        <v>228</v>
      </c>
      <c r="N367">
        <v>233</v>
      </c>
      <c r="O367" s="173">
        <f t="shared" si="84"/>
        <v>233.5</v>
      </c>
      <c r="P367" s="173">
        <f t="shared" si="85"/>
        <v>-26.583333333333314</v>
      </c>
      <c r="Q367" s="177">
        <f t="shared" si="86"/>
        <v>-0.10221082986222359</v>
      </c>
    </row>
    <row r="368" spans="1:18" x14ac:dyDescent="0.2">
      <c r="B368" t="s">
        <v>279</v>
      </c>
      <c r="C368">
        <v>212</v>
      </c>
      <c r="D368">
        <v>216</v>
      </c>
      <c r="E368">
        <v>221</v>
      </c>
      <c r="F368">
        <v>228</v>
      </c>
      <c r="G368">
        <v>226</v>
      </c>
      <c r="H368">
        <v>230</v>
      </c>
      <c r="I368">
        <v>222</v>
      </c>
      <c r="J368">
        <v>225</v>
      </c>
      <c r="K368">
        <v>236</v>
      </c>
      <c r="L368">
        <v>242</v>
      </c>
      <c r="M368">
        <v>246</v>
      </c>
      <c r="N368">
        <v>252</v>
      </c>
      <c r="O368" s="173">
        <f t="shared" si="84"/>
        <v>229.66666666666666</v>
      </c>
      <c r="P368" s="173">
        <f t="shared" si="85"/>
        <v>-3.8333333333333428</v>
      </c>
      <c r="Q368" s="177">
        <f t="shared" si="86"/>
        <v>-1.6416845110635302E-2</v>
      </c>
    </row>
    <row r="369" spans="1:18" x14ac:dyDescent="0.2">
      <c r="B369" t="s">
        <v>317</v>
      </c>
      <c r="C369">
        <v>247</v>
      </c>
      <c r="D369">
        <v>248</v>
      </c>
      <c r="E369">
        <v>247</v>
      </c>
      <c r="F369">
        <v>247</v>
      </c>
      <c r="G369">
        <v>254</v>
      </c>
      <c r="H369">
        <v>258</v>
      </c>
      <c r="I369">
        <v>257</v>
      </c>
      <c r="J369">
        <v>255</v>
      </c>
      <c r="K369">
        <v>252</v>
      </c>
      <c r="L369">
        <v>251</v>
      </c>
      <c r="M369">
        <v>249</v>
      </c>
      <c r="N369">
        <v>259</v>
      </c>
      <c r="O369" s="173">
        <f t="shared" si="84"/>
        <v>252</v>
      </c>
      <c r="P369" s="173">
        <f t="shared" si="85"/>
        <v>22.333333333333343</v>
      </c>
      <c r="Q369" s="177">
        <f t="shared" si="86"/>
        <v>9.7242380261248235E-2</v>
      </c>
    </row>
    <row r="370" spans="1:18" x14ac:dyDescent="0.2">
      <c r="B370" t="s">
        <v>338</v>
      </c>
      <c r="C370">
        <v>264</v>
      </c>
      <c r="D370">
        <v>260</v>
      </c>
      <c r="E370">
        <v>262</v>
      </c>
      <c r="F370">
        <v>259</v>
      </c>
      <c r="G370">
        <v>247</v>
      </c>
      <c r="H370">
        <v>238</v>
      </c>
      <c r="I370">
        <v>224</v>
      </c>
      <c r="J370">
        <v>232</v>
      </c>
      <c r="K370">
        <v>239</v>
      </c>
      <c r="L370">
        <v>243</v>
      </c>
      <c r="M370">
        <v>246</v>
      </c>
      <c r="N370">
        <v>247</v>
      </c>
      <c r="O370" s="173">
        <f t="shared" si="84"/>
        <v>246.75</v>
      </c>
      <c r="P370" s="173">
        <f t="shared" si="85"/>
        <v>-5.25</v>
      </c>
      <c r="Q370" s="177">
        <f t="shared" si="86"/>
        <v>-2.0833333333333332E-2</v>
      </c>
      <c r="R370" t="s">
        <v>414</v>
      </c>
    </row>
    <row r="371" spans="1:18" x14ac:dyDescent="0.2">
      <c r="B371" t="s">
        <v>411</v>
      </c>
      <c r="C371">
        <v>257</v>
      </c>
      <c r="D371">
        <v>248</v>
      </c>
      <c r="E371">
        <v>250</v>
      </c>
      <c r="F371">
        <v>264</v>
      </c>
      <c r="G371">
        <v>265</v>
      </c>
      <c r="H371">
        <v>270</v>
      </c>
      <c r="I371">
        <v>279</v>
      </c>
      <c r="J371">
        <v>279</v>
      </c>
      <c r="K371">
        <v>266</v>
      </c>
      <c r="L371">
        <v>260</v>
      </c>
      <c r="M371">
        <v>260</v>
      </c>
      <c r="N371">
        <v>272</v>
      </c>
      <c r="O371" s="173">
        <f t="shared" si="84"/>
        <v>264.16666666666669</v>
      </c>
      <c r="P371" s="173">
        <f t="shared" si="85"/>
        <v>17.416666666666686</v>
      </c>
      <c r="Q371" s="177">
        <f t="shared" si="86"/>
        <v>7.0584262073623852E-2</v>
      </c>
    </row>
    <row r="372" spans="1:18" x14ac:dyDescent="0.2">
      <c r="B372" t="s">
        <v>445</v>
      </c>
      <c r="C372">
        <v>276</v>
      </c>
      <c r="D372">
        <v>277</v>
      </c>
      <c r="E372">
        <v>283</v>
      </c>
      <c r="F372">
        <v>298</v>
      </c>
      <c r="G372">
        <v>294</v>
      </c>
      <c r="H372">
        <v>295</v>
      </c>
      <c r="I372">
        <v>289</v>
      </c>
      <c r="J372">
        <v>284</v>
      </c>
      <c r="K372">
        <v>288</v>
      </c>
      <c r="L372">
        <v>290</v>
      </c>
      <c r="M372">
        <v>303</v>
      </c>
      <c r="N372">
        <v>300</v>
      </c>
      <c r="O372" s="173">
        <f t="shared" si="84"/>
        <v>289.75</v>
      </c>
      <c r="P372" s="173">
        <f t="shared" si="85"/>
        <v>25.583333333333314</v>
      </c>
      <c r="Q372" s="177">
        <f t="shared" si="86"/>
        <v>9.6845425867507814E-2</v>
      </c>
    </row>
    <row r="373" spans="1:18" x14ac:dyDescent="0.2">
      <c r="B373" t="s">
        <v>510</v>
      </c>
      <c r="C373">
        <v>305</v>
      </c>
      <c r="D373">
        <v>296</v>
      </c>
      <c r="E373">
        <v>293</v>
      </c>
      <c r="F373">
        <v>294</v>
      </c>
      <c r="G373">
        <v>286</v>
      </c>
      <c r="H373">
        <v>283</v>
      </c>
      <c r="I373">
        <v>274</v>
      </c>
      <c r="J373">
        <v>260</v>
      </c>
      <c r="K373">
        <v>259</v>
      </c>
      <c r="L373">
        <v>266</v>
      </c>
      <c r="M373">
        <v>259</v>
      </c>
      <c r="N373">
        <v>266</v>
      </c>
      <c r="O373" s="173">
        <f t="shared" si="84"/>
        <v>278.41666666666669</v>
      </c>
      <c r="P373" s="173">
        <f t="shared" si="85"/>
        <v>-11.333333333333314</v>
      </c>
      <c r="Q373" s="177">
        <f t="shared" si="86"/>
        <v>-3.9114178889847508E-2</v>
      </c>
    </row>
    <row r="374" spans="1:18" x14ac:dyDescent="0.2">
      <c r="B374" t="s">
        <v>546</v>
      </c>
      <c r="C374">
        <v>256</v>
      </c>
      <c r="D374">
        <v>252</v>
      </c>
      <c r="E374">
        <v>248</v>
      </c>
      <c r="F374">
        <v>249</v>
      </c>
      <c r="G374">
        <v>253</v>
      </c>
      <c r="H374">
        <v>244</v>
      </c>
      <c r="I374">
        <v>234</v>
      </c>
      <c r="J374">
        <v>221</v>
      </c>
      <c r="K374">
        <v>233</v>
      </c>
      <c r="L374">
        <v>230</v>
      </c>
      <c r="M374">
        <v>238</v>
      </c>
      <c r="N374">
        <v>251</v>
      </c>
      <c r="O374" s="173">
        <f t="shared" si="84"/>
        <v>242.41666666666666</v>
      </c>
      <c r="P374" s="173">
        <f>SUM(O374-O373)</f>
        <v>-36.000000000000028</v>
      </c>
      <c r="Q374" s="177">
        <f>SUM(P374/O373)</f>
        <v>-0.12930260401077531</v>
      </c>
    </row>
    <row r="375" spans="1:18" x14ac:dyDescent="0.2">
      <c r="B375" t="s">
        <v>547</v>
      </c>
      <c r="C375">
        <v>254</v>
      </c>
      <c r="D375">
        <v>242</v>
      </c>
      <c r="E375">
        <v>239</v>
      </c>
      <c r="F375">
        <v>236</v>
      </c>
      <c r="G375">
        <v>231</v>
      </c>
      <c r="H375">
        <v>238</v>
      </c>
      <c r="I375">
        <v>229</v>
      </c>
      <c r="J375">
        <v>248</v>
      </c>
      <c r="K375">
        <v>244</v>
      </c>
      <c r="L375">
        <v>254</v>
      </c>
      <c r="M375">
        <v>257</v>
      </c>
      <c r="N375">
        <v>258</v>
      </c>
      <c r="O375" s="173">
        <f t="shared" si="84"/>
        <v>244.16666666666666</v>
      </c>
      <c r="P375" s="173">
        <f>SUM(O375-O374)</f>
        <v>1.75</v>
      </c>
      <c r="Q375" s="177">
        <f>SUM(P375/O374)</f>
        <v>7.2189755929872815E-3</v>
      </c>
    </row>
    <row r="376" spans="1:18" x14ac:dyDescent="0.2">
      <c r="B376" t="s">
        <v>817</v>
      </c>
      <c r="C376">
        <v>255</v>
      </c>
      <c r="D376">
        <v>254</v>
      </c>
      <c r="E376">
        <v>247</v>
      </c>
      <c r="F376">
        <v>241</v>
      </c>
      <c r="G376">
        <v>243</v>
      </c>
      <c r="H376">
        <v>231</v>
      </c>
      <c r="I376">
        <v>230</v>
      </c>
      <c r="J376">
        <v>227</v>
      </c>
      <c r="K376">
        <v>234</v>
      </c>
      <c r="L376">
        <v>233</v>
      </c>
      <c r="M376">
        <v>238</v>
      </c>
      <c r="N376">
        <v>233</v>
      </c>
      <c r="O376" s="173">
        <f t="shared" si="84"/>
        <v>238.83333333333334</v>
      </c>
      <c r="P376" s="173">
        <f>SUM(O376-O375)</f>
        <v>-5.3333333333333144</v>
      </c>
      <c r="Q376" s="177">
        <f>SUM(P376/O375)</f>
        <v>-2.1843003412969207E-2</v>
      </c>
    </row>
    <row r="377" spans="1:18" x14ac:dyDescent="0.2">
      <c r="B377" t="s">
        <v>818</v>
      </c>
      <c r="C377">
        <v>209</v>
      </c>
      <c r="D377">
        <v>206</v>
      </c>
      <c r="O377" s="173"/>
      <c r="P377" s="173"/>
      <c r="Q377" s="177"/>
    </row>
    <row r="378" spans="1:18" ht="25.5" x14ac:dyDescent="0.2">
      <c r="A378" s="175" t="s">
        <v>415</v>
      </c>
      <c r="B378" s="176" t="s">
        <v>392</v>
      </c>
      <c r="C378" s="178" t="s">
        <v>393</v>
      </c>
      <c r="D378" s="178" t="s">
        <v>394</v>
      </c>
      <c r="E378" s="178" t="s">
        <v>395</v>
      </c>
      <c r="F378" s="178" t="s">
        <v>396</v>
      </c>
      <c r="G378" s="178" t="s">
        <v>397</v>
      </c>
      <c r="H378" s="178" t="s">
        <v>398</v>
      </c>
      <c r="I378" s="178" t="s">
        <v>399</v>
      </c>
      <c r="J378" s="178" t="s">
        <v>400</v>
      </c>
      <c r="K378" s="178" t="s">
        <v>401</v>
      </c>
      <c r="L378" s="178" t="s">
        <v>402</v>
      </c>
      <c r="M378" s="178" t="s">
        <v>403</v>
      </c>
      <c r="N378" s="178" t="s">
        <v>404</v>
      </c>
    </row>
    <row r="379" spans="1:18" x14ac:dyDescent="0.2">
      <c r="B379" t="s">
        <v>408</v>
      </c>
      <c r="C379">
        <v>65</v>
      </c>
      <c r="D379">
        <v>62</v>
      </c>
      <c r="E379">
        <v>57</v>
      </c>
      <c r="F379">
        <v>56</v>
      </c>
      <c r="G379">
        <v>52</v>
      </c>
      <c r="H379">
        <v>51</v>
      </c>
      <c r="I379">
        <v>49</v>
      </c>
      <c r="J379">
        <v>55</v>
      </c>
      <c r="K379">
        <v>59</v>
      </c>
      <c r="L379">
        <v>55</v>
      </c>
      <c r="M379">
        <v>54</v>
      </c>
      <c r="N379">
        <v>66</v>
      </c>
      <c r="O379" s="173">
        <f t="shared" ref="O379:O396" si="87">SUM(C379:N379)/12</f>
        <v>56.75</v>
      </c>
      <c r="P379" s="173"/>
    </row>
    <row r="380" spans="1:18" x14ac:dyDescent="0.2">
      <c r="B380" t="s">
        <v>409</v>
      </c>
      <c r="C380">
        <v>67</v>
      </c>
      <c r="D380">
        <v>72</v>
      </c>
      <c r="E380">
        <v>72</v>
      </c>
      <c r="F380">
        <v>73</v>
      </c>
      <c r="G380">
        <v>71</v>
      </c>
      <c r="H380">
        <v>74</v>
      </c>
      <c r="I380">
        <v>74</v>
      </c>
      <c r="J380">
        <v>74</v>
      </c>
      <c r="K380">
        <v>70</v>
      </c>
      <c r="L380">
        <v>66</v>
      </c>
      <c r="M380">
        <v>62</v>
      </c>
      <c r="N380">
        <v>63</v>
      </c>
      <c r="O380" s="173">
        <f t="shared" si="87"/>
        <v>69.833333333333329</v>
      </c>
      <c r="P380" s="173">
        <f t="shared" ref="P380:P393" si="88">SUM(O380-O379)</f>
        <v>13.083333333333329</v>
      </c>
      <c r="Q380" s="177">
        <f t="shared" ref="Q380:Q393" si="89">SUM(P380/O379)</f>
        <v>0.23054331864904543</v>
      </c>
    </row>
    <row r="381" spans="1:18" x14ac:dyDescent="0.2">
      <c r="B381" t="s">
        <v>410</v>
      </c>
      <c r="C381">
        <v>68</v>
      </c>
      <c r="D381">
        <v>75</v>
      </c>
      <c r="E381">
        <v>74</v>
      </c>
      <c r="F381">
        <v>79</v>
      </c>
      <c r="G381">
        <v>75</v>
      </c>
      <c r="H381">
        <v>74</v>
      </c>
      <c r="I381">
        <v>64</v>
      </c>
      <c r="J381">
        <v>75</v>
      </c>
      <c r="K381">
        <v>76</v>
      </c>
      <c r="L381">
        <v>78</v>
      </c>
      <c r="M381">
        <v>79</v>
      </c>
      <c r="N381">
        <v>81</v>
      </c>
      <c r="O381" s="173">
        <f t="shared" si="87"/>
        <v>74.833333333333329</v>
      </c>
      <c r="P381" s="173">
        <f t="shared" si="88"/>
        <v>5</v>
      </c>
      <c r="Q381" s="177">
        <f t="shared" si="89"/>
        <v>7.1599045346062054E-2</v>
      </c>
    </row>
    <row r="382" spans="1:18" x14ac:dyDescent="0.2">
      <c r="B382" t="s">
        <v>244</v>
      </c>
      <c r="C382">
        <v>76</v>
      </c>
      <c r="D382">
        <v>79</v>
      </c>
      <c r="E382">
        <v>76</v>
      </c>
      <c r="F382">
        <v>74</v>
      </c>
      <c r="G382">
        <v>72</v>
      </c>
      <c r="H382">
        <v>70</v>
      </c>
      <c r="I382">
        <v>68</v>
      </c>
      <c r="J382">
        <v>59</v>
      </c>
      <c r="K382">
        <v>67</v>
      </c>
      <c r="L382">
        <v>66</v>
      </c>
      <c r="M382">
        <v>67</v>
      </c>
      <c r="N382">
        <v>64</v>
      </c>
      <c r="O382" s="173">
        <f t="shared" si="87"/>
        <v>69.833333333333329</v>
      </c>
      <c r="P382" s="173">
        <f t="shared" si="88"/>
        <v>-5</v>
      </c>
      <c r="Q382" s="177">
        <f t="shared" si="89"/>
        <v>-6.6815144766147E-2</v>
      </c>
    </row>
    <row r="383" spans="1:18" x14ac:dyDescent="0.2">
      <c r="B383" t="s">
        <v>243</v>
      </c>
      <c r="C383">
        <v>67</v>
      </c>
      <c r="D383">
        <v>57</v>
      </c>
      <c r="E383">
        <v>57</v>
      </c>
      <c r="F383">
        <v>58</v>
      </c>
      <c r="G383">
        <v>57</v>
      </c>
      <c r="H383">
        <v>60</v>
      </c>
      <c r="I383">
        <v>55</v>
      </c>
      <c r="J383">
        <v>55</v>
      </c>
      <c r="K383">
        <v>64</v>
      </c>
      <c r="L383">
        <v>61</v>
      </c>
      <c r="M383">
        <v>68</v>
      </c>
      <c r="N383">
        <v>67</v>
      </c>
      <c r="O383" s="173">
        <f t="shared" si="87"/>
        <v>60.5</v>
      </c>
      <c r="P383" s="173">
        <f t="shared" si="88"/>
        <v>-9.3333333333333286</v>
      </c>
      <c r="Q383" s="177">
        <f t="shared" si="89"/>
        <v>-0.13365155131264911</v>
      </c>
    </row>
    <row r="384" spans="1:18" x14ac:dyDescent="0.2">
      <c r="B384" t="s">
        <v>264</v>
      </c>
      <c r="C384">
        <v>71</v>
      </c>
      <c r="D384">
        <v>62</v>
      </c>
      <c r="E384">
        <v>61</v>
      </c>
      <c r="F384">
        <v>59</v>
      </c>
      <c r="G384">
        <v>54</v>
      </c>
      <c r="H384">
        <v>56</v>
      </c>
      <c r="I384">
        <v>56</v>
      </c>
      <c r="J384">
        <v>58</v>
      </c>
      <c r="K384">
        <v>60</v>
      </c>
      <c r="L384">
        <v>65</v>
      </c>
      <c r="M384">
        <v>72</v>
      </c>
      <c r="N384">
        <v>75</v>
      </c>
      <c r="O384" s="173">
        <f t="shared" si="87"/>
        <v>62.416666666666664</v>
      </c>
      <c r="P384" s="173">
        <f t="shared" si="88"/>
        <v>1.9166666666666643</v>
      </c>
      <c r="Q384" s="177">
        <f t="shared" si="89"/>
        <v>3.1680440771349822E-2</v>
      </c>
    </row>
    <row r="385" spans="1:17" x14ac:dyDescent="0.2">
      <c r="B385" t="s">
        <v>274</v>
      </c>
      <c r="C385">
        <v>76</v>
      </c>
      <c r="D385">
        <v>73</v>
      </c>
      <c r="E385">
        <v>67</v>
      </c>
      <c r="F385">
        <v>66</v>
      </c>
      <c r="G385">
        <v>66</v>
      </c>
      <c r="H385">
        <v>68</v>
      </c>
      <c r="I385">
        <v>69</v>
      </c>
      <c r="J385">
        <v>72</v>
      </c>
      <c r="K385">
        <v>69</v>
      </c>
      <c r="L385">
        <v>75</v>
      </c>
      <c r="M385">
        <v>73</v>
      </c>
      <c r="N385">
        <v>74</v>
      </c>
      <c r="O385" s="173">
        <f t="shared" si="87"/>
        <v>70.666666666666671</v>
      </c>
      <c r="P385" s="173">
        <f t="shared" si="88"/>
        <v>8.2500000000000071</v>
      </c>
      <c r="Q385" s="177">
        <f t="shared" si="89"/>
        <v>0.13217623497997341</v>
      </c>
    </row>
    <row r="386" spans="1:17" x14ac:dyDescent="0.2">
      <c r="B386" t="s">
        <v>277</v>
      </c>
      <c r="C386">
        <v>72</v>
      </c>
      <c r="D386">
        <v>72</v>
      </c>
      <c r="E386">
        <v>71</v>
      </c>
      <c r="F386">
        <v>73</v>
      </c>
      <c r="G386">
        <v>77</v>
      </c>
      <c r="H386">
        <v>76</v>
      </c>
      <c r="I386">
        <v>76</v>
      </c>
      <c r="J386">
        <v>78</v>
      </c>
      <c r="K386">
        <v>74</v>
      </c>
      <c r="L386">
        <v>88</v>
      </c>
      <c r="M386">
        <v>92</v>
      </c>
      <c r="N386">
        <v>76</v>
      </c>
      <c r="O386" s="173">
        <f t="shared" si="87"/>
        <v>77.083333333333329</v>
      </c>
      <c r="P386" s="173">
        <f t="shared" si="88"/>
        <v>6.4166666666666572</v>
      </c>
      <c r="Q386" s="177">
        <f t="shared" si="89"/>
        <v>9.0801886792452685E-2</v>
      </c>
    </row>
    <row r="387" spans="1:17" x14ac:dyDescent="0.2">
      <c r="B387" t="s">
        <v>278</v>
      </c>
      <c r="C387">
        <v>76</v>
      </c>
      <c r="D387">
        <v>79</v>
      </c>
      <c r="E387">
        <v>94</v>
      </c>
      <c r="F387">
        <v>75</v>
      </c>
      <c r="G387">
        <v>79</v>
      </c>
      <c r="H387">
        <v>77</v>
      </c>
      <c r="I387">
        <v>83</v>
      </c>
      <c r="J387">
        <v>83</v>
      </c>
      <c r="K387">
        <v>86</v>
      </c>
      <c r="L387">
        <v>85</v>
      </c>
      <c r="M387">
        <v>82</v>
      </c>
      <c r="N387">
        <v>89</v>
      </c>
      <c r="O387" s="173">
        <f t="shared" si="87"/>
        <v>82.333333333333329</v>
      </c>
      <c r="P387" s="173">
        <f t="shared" si="88"/>
        <v>5.25</v>
      </c>
      <c r="Q387" s="177">
        <f t="shared" si="89"/>
        <v>6.8108108108108106E-2</v>
      </c>
    </row>
    <row r="388" spans="1:17" x14ac:dyDescent="0.2">
      <c r="B388" t="s">
        <v>279</v>
      </c>
      <c r="C388">
        <v>92</v>
      </c>
      <c r="D388">
        <v>91</v>
      </c>
      <c r="E388">
        <v>95</v>
      </c>
      <c r="F388">
        <v>93</v>
      </c>
      <c r="G388">
        <v>96</v>
      </c>
      <c r="H388">
        <v>94</v>
      </c>
      <c r="I388">
        <v>91</v>
      </c>
      <c r="J388">
        <v>90</v>
      </c>
      <c r="K388">
        <v>91</v>
      </c>
      <c r="L388">
        <v>95</v>
      </c>
      <c r="M388">
        <v>96</v>
      </c>
      <c r="N388">
        <v>73</v>
      </c>
      <c r="O388" s="173">
        <f t="shared" si="87"/>
        <v>91.416666666666671</v>
      </c>
      <c r="P388" s="173">
        <f t="shared" si="88"/>
        <v>9.0833333333333428</v>
      </c>
      <c r="Q388" s="177">
        <f t="shared" si="89"/>
        <v>0.11032388663967624</v>
      </c>
    </row>
    <row r="389" spans="1:17" x14ac:dyDescent="0.2">
      <c r="B389" t="s">
        <v>317</v>
      </c>
      <c r="C389">
        <v>72</v>
      </c>
      <c r="D389">
        <v>72</v>
      </c>
      <c r="E389">
        <v>65</v>
      </c>
      <c r="F389">
        <v>62</v>
      </c>
      <c r="G389">
        <v>61</v>
      </c>
      <c r="H389">
        <v>65</v>
      </c>
      <c r="I389">
        <v>68</v>
      </c>
      <c r="J389">
        <v>70</v>
      </c>
      <c r="K389">
        <v>68</v>
      </c>
      <c r="L389">
        <v>70</v>
      </c>
      <c r="M389">
        <v>71</v>
      </c>
      <c r="N389">
        <v>73</v>
      </c>
      <c r="O389" s="173">
        <f t="shared" si="87"/>
        <v>68.083333333333329</v>
      </c>
      <c r="P389" s="173">
        <f t="shared" si="88"/>
        <v>-23.333333333333343</v>
      </c>
      <c r="Q389" s="177">
        <f t="shared" si="89"/>
        <v>-0.2552415679124887</v>
      </c>
    </row>
    <row r="390" spans="1:17" x14ac:dyDescent="0.2">
      <c r="B390" t="s">
        <v>338</v>
      </c>
      <c r="C390">
        <v>72</v>
      </c>
      <c r="D390">
        <v>70</v>
      </c>
      <c r="E390">
        <v>73</v>
      </c>
      <c r="F390">
        <v>77</v>
      </c>
      <c r="G390">
        <v>74</v>
      </c>
      <c r="H390">
        <v>74</v>
      </c>
      <c r="I390">
        <v>76</v>
      </c>
      <c r="J390">
        <v>75</v>
      </c>
      <c r="K390">
        <v>77</v>
      </c>
      <c r="L390">
        <v>82</v>
      </c>
      <c r="M390">
        <v>85</v>
      </c>
      <c r="N390">
        <v>88</v>
      </c>
      <c r="O390" s="173">
        <f t="shared" si="87"/>
        <v>76.916666666666671</v>
      </c>
      <c r="P390" s="173">
        <f t="shared" si="88"/>
        <v>8.8333333333333428</v>
      </c>
      <c r="Q390" s="177">
        <f t="shared" si="89"/>
        <v>0.1297429620563037</v>
      </c>
    </row>
    <row r="391" spans="1:17" x14ac:dyDescent="0.2">
      <c r="B391" t="s">
        <v>411</v>
      </c>
      <c r="C391">
        <v>88</v>
      </c>
      <c r="D391">
        <v>84</v>
      </c>
      <c r="E391">
        <v>81</v>
      </c>
      <c r="F391">
        <v>81</v>
      </c>
      <c r="G391">
        <v>79</v>
      </c>
      <c r="H391">
        <v>79</v>
      </c>
      <c r="I391">
        <v>77</v>
      </c>
      <c r="J391">
        <v>82</v>
      </c>
      <c r="K391">
        <v>80</v>
      </c>
      <c r="L391">
        <v>73</v>
      </c>
      <c r="M391">
        <v>76</v>
      </c>
      <c r="N391">
        <v>76</v>
      </c>
      <c r="O391" s="173">
        <f t="shared" si="87"/>
        <v>79.666666666666671</v>
      </c>
      <c r="P391" s="173">
        <f t="shared" si="88"/>
        <v>2.75</v>
      </c>
      <c r="Q391" s="177">
        <f t="shared" si="89"/>
        <v>3.5752979414951244E-2</v>
      </c>
    </row>
    <row r="392" spans="1:17" x14ac:dyDescent="0.2">
      <c r="B392" t="s">
        <v>445</v>
      </c>
      <c r="C392">
        <v>75</v>
      </c>
      <c r="D392">
        <v>77</v>
      </c>
      <c r="E392">
        <v>75</v>
      </c>
      <c r="F392">
        <v>75</v>
      </c>
      <c r="G392">
        <v>79</v>
      </c>
      <c r="H392">
        <v>74</v>
      </c>
      <c r="I392">
        <v>75</v>
      </c>
      <c r="J392">
        <v>77</v>
      </c>
      <c r="K392">
        <v>74</v>
      </c>
      <c r="L392">
        <v>70</v>
      </c>
      <c r="M392">
        <v>70</v>
      </c>
      <c r="N392">
        <v>72</v>
      </c>
      <c r="O392" s="173">
        <f t="shared" si="87"/>
        <v>74.416666666666671</v>
      </c>
      <c r="P392" s="173">
        <f t="shared" si="88"/>
        <v>-5.25</v>
      </c>
      <c r="Q392" s="177">
        <f t="shared" si="89"/>
        <v>-6.5899581589958151E-2</v>
      </c>
    </row>
    <row r="393" spans="1:17" x14ac:dyDescent="0.2">
      <c r="B393" t="s">
        <v>510</v>
      </c>
      <c r="C393">
        <v>74</v>
      </c>
      <c r="D393">
        <v>71</v>
      </c>
      <c r="E393">
        <v>73</v>
      </c>
      <c r="F393">
        <v>76</v>
      </c>
      <c r="G393">
        <v>72</v>
      </c>
      <c r="H393">
        <v>70</v>
      </c>
      <c r="I393">
        <v>73</v>
      </c>
      <c r="J393">
        <v>73</v>
      </c>
      <c r="K393">
        <v>72</v>
      </c>
      <c r="L393">
        <v>73</v>
      </c>
      <c r="M393">
        <v>76</v>
      </c>
      <c r="N393">
        <v>77</v>
      </c>
      <c r="O393" s="173">
        <f t="shared" si="87"/>
        <v>73.333333333333329</v>
      </c>
      <c r="P393" s="173">
        <f t="shared" si="88"/>
        <v>-1.0833333333333428</v>
      </c>
      <c r="Q393" s="177">
        <f t="shared" si="89"/>
        <v>-1.4557670772676497E-2</v>
      </c>
    </row>
    <row r="394" spans="1:17" x14ac:dyDescent="0.2">
      <c r="B394" t="s">
        <v>546</v>
      </c>
      <c r="C394">
        <v>71</v>
      </c>
      <c r="D394">
        <v>70</v>
      </c>
      <c r="E394">
        <v>68</v>
      </c>
      <c r="F394">
        <v>71</v>
      </c>
      <c r="G394">
        <v>69</v>
      </c>
      <c r="H394">
        <v>69</v>
      </c>
      <c r="I394">
        <v>67</v>
      </c>
      <c r="J394">
        <v>70</v>
      </c>
      <c r="K394">
        <v>69</v>
      </c>
      <c r="L394">
        <v>69</v>
      </c>
      <c r="M394">
        <v>69</v>
      </c>
      <c r="N394">
        <v>65</v>
      </c>
      <c r="O394" s="173">
        <f t="shared" si="87"/>
        <v>68.916666666666671</v>
      </c>
      <c r="P394" s="173">
        <f>SUM(O394-O393)</f>
        <v>-4.4166666666666572</v>
      </c>
      <c r="Q394" s="177">
        <f>SUM(P394/O393)</f>
        <v>-6.0227272727272602E-2</v>
      </c>
    </row>
    <row r="395" spans="1:17" x14ac:dyDescent="0.2">
      <c r="B395" t="s">
        <v>547</v>
      </c>
      <c r="C395">
        <v>69</v>
      </c>
      <c r="D395">
        <v>66</v>
      </c>
      <c r="E395">
        <v>63</v>
      </c>
      <c r="F395">
        <v>62</v>
      </c>
      <c r="G395">
        <v>65</v>
      </c>
      <c r="H395">
        <v>62</v>
      </c>
      <c r="I395">
        <v>64</v>
      </c>
      <c r="J395">
        <v>63</v>
      </c>
      <c r="K395">
        <v>57</v>
      </c>
      <c r="L395">
        <v>57</v>
      </c>
      <c r="M395">
        <v>57</v>
      </c>
      <c r="N395">
        <v>58</v>
      </c>
      <c r="O395" s="173">
        <f t="shared" si="87"/>
        <v>61.916666666666664</v>
      </c>
      <c r="P395" s="173">
        <f>SUM(O395-O394)</f>
        <v>-7.0000000000000071</v>
      </c>
      <c r="Q395" s="177">
        <f>SUM(P395/O394)</f>
        <v>-0.10157194679564702</v>
      </c>
    </row>
    <row r="396" spans="1:17" x14ac:dyDescent="0.2">
      <c r="B396" t="s">
        <v>817</v>
      </c>
      <c r="C396">
        <v>52</v>
      </c>
      <c r="D396">
        <v>53</v>
      </c>
      <c r="E396">
        <v>56</v>
      </c>
      <c r="F396">
        <v>51</v>
      </c>
      <c r="G396">
        <v>48</v>
      </c>
      <c r="H396">
        <v>50</v>
      </c>
      <c r="I396">
        <v>51</v>
      </c>
      <c r="J396">
        <v>48</v>
      </c>
      <c r="K396">
        <v>50</v>
      </c>
      <c r="L396">
        <v>52</v>
      </c>
      <c r="M396">
        <v>53</v>
      </c>
      <c r="N396">
        <v>53</v>
      </c>
      <c r="O396" s="173">
        <f t="shared" si="87"/>
        <v>51.416666666666664</v>
      </c>
      <c r="P396" s="173">
        <f>SUM(O396-O395)</f>
        <v>-10.5</v>
      </c>
      <c r="Q396" s="177">
        <f>SUM(P396/O395)</f>
        <v>-0.1695827725437416</v>
      </c>
    </row>
    <row r="397" spans="1:17" x14ac:dyDescent="0.2">
      <c r="B397" t="s">
        <v>818</v>
      </c>
      <c r="C397">
        <v>47</v>
      </c>
      <c r="D397">
        <v>47</v>
      </c>
      <c r="O397" s="173"/>
      <c r="P397" s="173"/>
      <c r="Q397" s="177"/>
    </row>
    <row r="398" spans="1:17" x14ac:dyDescent="0.2">
      <c r="A398" s="520"/>
      <c r="B398" s="520"/>
      <c r="C398" s="520"/>
      <c r="D398" s="520"/>
      <c r="E398" s="520"/>
      <c r="F398" s="520"/>
      <c r="G398" s="520"/>
      <c r="H398" s="520"/>
      <c r="I398" s="520"/>
      <c r="J398" s="520"/>
      <c r="K398" s="520"/>
      <c r="L398" s="520"/>
      <c r="M398" s="520"/>
      <c r="N398" s="520"/>
      <c r="O398" s="520"/>
      <c r="P398" s="520"/>
      <c r="Q398" s="520"/>
    </row>
    <row r="399" spans="1:17" ht="25.5" x14ac:dyDescent="0.2">
      <c r="A399" s="175" t="s">
        <v>416</v>
      </c>
      <c r="B399" s="176" t="s">
        <v>392</v>
      </c>
      <c r="C399" s="178" t="s">
        <v>393</v>
      </c>
      <c r="D399" s="178" t="s">
        <v>394</v>
      </c>
      <c r="E399" s="178" t="s">
        <v>395</v>
      </c>
      <c r="F399" s="178" t="s">
        <v>396</v>
      </c>
      <c r="G399" s="178" t="s">
        <v>397</v>
      </c>
      <c r="H399" s="178" t="s">
        <v>398</v>
      </c>
      <c r="I399" s="178" t="s">
        <v>399</v>
      </c>
      <c r="J399" s="178" t="s">
        <v>400</v>
      </c>
      <c r="K399" s="178" t="s">
        <v>401</v>
      </c>
      <c r="L399" s="178" t="s">
        <v>402</v>
      </c>
      <c r="M399" s="178" t="s">
        <v>403</v>
      </c>
      <c r="N399" s="178" t="s">
        <v>404</v>
      </c>
    </row>
    <row r="400" spans="1:17" x14ac:dyDescent="0.2">
      <c r="B400" t="s">
        <v>408</v>
      </c>
      <c r="C400">
        <v>683</v>
      </c>
      <c r="D400">
        <v>675</v>
      </c>
      <c r="E400">
        <v>696</v>
      </c>
      <c r="F400">
        <v>659</v>
      </c>
      <c r="G400">
        <v>661</v>
      </c>
      <c r="H400">
        <v>650</v>
      </c>
      <c r="I400">
        <v>666</v>
      </c>
      <c r="J400">
        <v>688</v>
      </c>
      <c r="K400">
        <v>667</v>
      </c>
      <c r="L400">
        <v>670</v>
      </c>
      <c r="M400">
        <v>639</v>
      </c>
      <c r="N400">
        <v>653</v>
      </c>
      <c r="O400" s="173">
        <f t="shared" ref="O400:O417" si="90">SUM(C400:N400)/12</f>
        <v>667.25</v>
      </c>
      <c r="P400" s="173"/>
    </row>
    <row r="401" spans="2:17" x14ac:dyDescent="0.2">
      <c r="B401" t="s">
        <v>409</v>
      </c>
      <c r="C401">
        <v>624</v>
      </c>
      <c r="D401">
        <v>643</v>
      </c>
      <c r="E401">
        <v>636</v>
      </c>
      <c r="F401">
        <v>670</v>
      </c>
      <c r="G401">
        <v>642</v>
      </c>
      <c r="H401">
        <v>655</v>
      </c>
      <c r="I401">
        <v>650</v>
      </c>
      <c r="J401">
        <v>660</v>
      </c>
      <c r="K401">
        <v>644</v>
      </c>
      <c r="L401">
        <v>672</v>
      </c>
      <c r="M401">
        <v>658</v>
      </c>
      <c r="N401">
        <v>659</v>
      </c>
      <c r="O401" s="173">
        <f t="shared" si="90"/>
        <v>651.08333333333337</v>
      </c>
      <c r="P401" s="173">
        <f t="shared" ref="P401:P414" si="91">SUM(O401-O400)</f>
        <v>-16.166666666666629</v>
      </c>
      <c r="Q401" s="177">
        <f t="shared" ref="Q401:Q414" si="92">SUM(P401/O400)</f>
        <v>-2.422879980017479E-2</v>
      </c>
    </row>
    <row r="402" spans="2:17" x14ac:dyDescent="0.2">
      <c r="B402" t="s">
        <v>410</v>
      </c>
      <c r="C402">
        <v>661</v>
      </c>
      <c r="D402">
        <v>673</v>
      </c>
      <c r="E402">
        <v>672</v>
      </c>
      <c r="F402">
        <v>632</v>
      </c>
      <c r="G402">
        <v>611</v>
      </c>
      <c r="H402">
        <v>620</v>
      </c>
      <c r="I402">
        <v>633</v>
      </c>
      <c r="J402">
        <v>653</v>
      </c>
      <c r="K402">
        <v>659</v>
      </c>
      <c r="L402">
        <v>665</v>
      </c>
      <c r="M402">
        <v>671</v>
      </c>
      <c r="N402">
        <v>677</v>
      </c>
      <c r="O402" s="173">
        <f t="shared" si="90"/>
        <v>652.25</v>
      </c>
      <c r="P402" s="173">
        <f t="shared" si="91"/>
        <v>1.1666666666666288</v>
      </c>
      <c r="Q402" s="177">
        <f t="shared" si="92"/>
        <v>1.7918853193395041E-3</v>
      </c>
    </row>
    <row r="403" spans="2:17" x14ac:dyDescent="0.2">
      <c r="B403" t="s">
        <v>244</v>
      </c>
      <c r="C403">
        <v>561</v>
      </c>
      <c r="D403">
        <v>574</v>
      </c>
      <c r="E403">
        <v>593</v>
      </c>
      <c r="F403">
        <v>589</v>
      </c>
      <c r="G403">
        <v>589</v>
      </c>
      <c r="H403">
        <v>589</v>
      </c>
      <c r="I403">
        <v>589</v>
      </c>
      <c r="J403">
        <v>589</v>
      </c>
      <c r="K403">
        <v>589</v>
      </c>
      <c r="L403">
        <v>589</v>
      </c>
      <c r="M403">
        <v>589</v>
      </c>
      <c r="N403">
        <v>623</v>
      </c>
      <c r="O403" s="173">
        <f t="shared" si="90"/>
        <v>588.58333333333337</v>
      </c>
      <c r="P403" s="173">
        <f t="shared" si="91"/>
        <v>-63.666666666666629</v>
      </c>
      <c r="Q403" s="177">
        <f t="shared" si="92"/>
        <v>-9.7610834291554816E-2</v>
      </c>
    </row>
    <row r="404" spans="2:17" x14ac:dyDescent="0.2">
      <c r="B404" t="s">
        <v>243</v>
      </c>
      <c r="C404">
        <v>585</v>
      </c>
      <c r="D404">
        <v>542</v>
      </c>
      <c r="E404">
        <v>535</v>
      </c>
      <c r="F404">
        <v>545</v>
      </c>
      <c r="G404">
        <v>547</v>
      </c>
      <c r="H404">
        <v>584</v>
      </c>
      <c r="I404">
        <v>608</v>
      </c>
      <c r="J404">
        <v>604</v>
      </c>
      <c r="K404">
        <v>592</v>
      </c>
      <c r="L404">
        <v>599</v>
      </c>
      <c r="M404">
        <v>628</v>
      </c>
      <c r="N404">
        <v>595</v>
      </c>
      <c r="O404" s="173">
        <f t="shared" si="90"/>
        <v>580.33333333333337</v>
      </c>
      <c r="P404" s="173">
        <f t="shared" si="91"/>
        <v>-8.25</v>
      </c>
      <c r="Q404" s="177">
        <f t="shared" si="92"/>
        <v>-1.4016706781820756E-2</v>
      </c>
    </row>
    <row r="405" spans="2:17" x14ac:dyDescent="0.2">
      <c r="B405" t="s">
        <v>264</v>
      </c>
      <c r="C405">
        <v>601</v>
      </c>
      <c r="D405">
        <v>626</v>
      </c>
      <c r="E405">
        <v>662</v>
      </c>
      <c r="F405">
        <v>646</v>
      </c>
      <c r="G405">
        <v>635</v>
      </c>
      <c r="H405">
        <v>634</v>
      </c>
      <c r="I405">
        <v>628</v>
      </c>
      <c r="J405">
        <v>656</v>
      </c>
      <c r="K405">
        <v>666</v>
      </c>
      <c r="L405">
        <v>657</v>
      </c>
      <c r="M405">
        <v>576</v>
      </c>
      <c r="N405">
        <v>650</v>
      </c>
      <c r="O405" s="173">
        <f t="shared" si="90"/>
        <v>636.41666666666663</v>
      </c>
      <c r="P405" s="173">
        <f t="shared" si="91"/>
        <v>56.083333333333258</v>
      </c>
      <c r="Q405" s="177">
        <f t="shared" si="92"/>
        <v>9.6639862148190564E-2</v>
      </c>
    </row>
    <row r="406" spans="2:17" x14ac:dyDescent="0.2">
      <c r="B406" t="s">
        <v>274</v>
      </c>
      <c r="C406">
        <v>648</v>
      </c>
      <c r="D406">
        <v>660</v>
      </c>
      <c r="E406">
        <v>652</v>
      </c>
      <c r="F406">
        <v>651</v>
      </c>
      <c r="G406">
        <v>646</v>
      </c>
      <c r="H406">
        <v>659</v>
      </c>
      <c r="I406">
        <v>646</v>
      </c>
      <c r="J406">
        <v>702</v>
      </c>
      <c r="K406">
        <v>699</v>
      </c>
      <c r="L406">
        <v>703</v>
      </c>
      <c r="M406">
        <v>711</v>
      </c>
      <c r="N406">
        <v>718</v>
      </c>
      <c r="O406" s="173">
        <f t="shared" si="90"/>
        <v>674.58333333333337</v>
      </c>
      <c r="P406" s="173">
        <f t="shared" si="91"/>
        <v>38.166666666666742</v>
      </c>
      <c r="Q406" s="177">
        <f t="shared" si="92"/>
        <v>5.99711928767842E-2</v>
      </c>
    </row>
    <row r="407" spans="2:17" x14ac:dyDescent="0.2">
      <c r="B407" t="s">
        <v>277</v>
      </c>
      <c r="C407">
        <v>731</v>
      </c>
      <c r="D407">
        <v>726</v>
      </c>
      <c r="E407">
        <v>720</v>
      </c>
      <c r="F407">
        <v>696</v>
      </c>
      <c r="G407">
        <v>731</v>
      </c>
      <c r="H407">
        <v>721</v>
      </c>
      <c r="I407">
        <v>713</v>
      </c>
      <c r="J407">
        <v>701</v>
      </c>
      <c r="K407">
        <v>691</v>
      </c>
      <c r="L407">
        <v>789</v>
      </c>
      <c r="M407">
        <v>764</v>
      </c>
      <c r="N407">
        <v>691</v>
      </c>
      <c r="O407" s="173">
        <f t="shared" si="90"/>
        <v>722.83333333333337</v>
      </c>
      <c r="P407" s="173">
        <f t="shared" si="91"/>
        <v>48.25</v>
      </c>
      <c r="Q407" s="177">
        <f t="shared" si="92"/>
        <v>7.1525633106856085E-2</v>
      </c>
    </row>
    <row r="408" spans="2:17" x14ac:dyDescent="0.2">
      <c r="B408" t="s">
        <v>278</v>
      </c>
      <c r="C408">
        <v>684</v>
      </c>
      <c r="D408">
        <v>691</v>
      </c>
      <c r="E408">
        <v>716</v>
      </c>
      <c r="F408">
        <v>676</v>
      </c>
      <c r="G408">
        <v>671</v>
      </c>
      <c r="H408">
        <v>676</v>
      </c>
      <c r="I408">
        <v>674</v>
      </c>
      <c r="J408">
        <v>667</v>
      </c>
      <c r="K408">
        <v>669</v>
      </c>
      <c r="L408">
        <v>676</v>
      </c>
      <c r="M408">
        <v>714</v>
      </c>
      <c r="N408">
        <v>718</v>
      </c>
      <c r="O408" s="173">
        <f t="shared" si="90"/>
        <v>686</v>
      </c>
      <c r="P408" s="173">
        <f t="shared" si="91"/>
        <v>-36.833333333333371</v>
      </c>
      <c r="Q408" s="177">
        <f t="shared" si="92"/>
        <v>-5.095688263776809E-2</v>
      </c>
    </row>
    <row r="409" spans="2:17" x14ac:dyDescent="0.2">
      <c r="B409" t="s">
        <v>279</v>
      </c>
      <c r="C409">
        <v>681</v>
      </c>
      <c r="D409">
        <v>689</v>
      </c>
      <c r="E409">
        <v>680</v>
      </c>
      <c r="F409">
        <v>661</v>
      </c>
      <c r="G409">
        <v>661</v>
      </c>
      <c r="H409">
        <v>678</v>
      </c>
      <c r="I409">
        <v>672</v>
      </c>
      <c r="J409">
        <v>687</v>
      </c>
      <c r="K409">
        <v>677</v>
      </c>
      <c r="L409">
        <v>674</v>
      </c>
      <c r="M409">
        <v>674</v>
      </c>
      <c r="N409">
        <v>691</v>
      </c>
      <c r="O409" s="173">
        <f t="shared" si="90"/>
        <v>677.08333333333337</v>
      </c>
      <c r="P409" s="173">
        <f t="shared" si="91"/>
        <v>-8.9166666666666288</v>
      </c>
      <c r="Q409" s="177">
        <f t="shared" si="92"/>
        <v>-1.2998056365403248E-2</v>
      </c>
    </row>
    <row r="410" spans="2:17" x14ac:dyDescent="0.2">
      <c r="B410" t="s">
        <v>317</v>
      </c>
      <c r="C410">
        <v>685</v>
      </c>
      <c r="D410">
        <v>703</v>
      </c>
      <c r="E410">
        <v>697</v>
      </c>
      <c r="F410">
        <v>714</v>
      </c>
      <c r="G410">
        <v>713</v>
      </c>
      <c r="H410">
        <v>746</v>
      </c>
      <c r="I410">
        <v>722</v>
      </c>
      <c r="J410">
        <v>724</v>
      </c>
      <c r="K410">
        <v>728</v>
      </c>
      <c r="L410">
        <v>696</v>
      </c>
      <c r="M410">
        <v>695</v>
      </c>
      <c r="N410">
        <v>676</v>
      </c>
      <c r="O410" s="173">
        <f t="shared" si="90"/>
        <v>708.25</v>
      </c>
      <c r="P410" s="173">
        <f t="shared" si="91"/>
        <v>31.166666666666629</v>
      </c>
      <c r="Q410" s="177">
        <f t="shared" si="92"/>
        <v>4.6030769230769174E-2</v>
      </c>
    </row>
    <row r="411" spans="2:17" x14ac:dyDescent="0.2">
      <c r="B411" t="s">
        <v>338</v>
      </c>
      <c r="C411">
        <v>691</v>
      </c>
      <c r="D411">
        <v>666</v>
      </c>
      <c r="E411">
        <v>624</v>
      </c>
      <c r="F411">
        <v>670</v>
      </c>
      <c r="G411">
        <v>672</v>
      </c>
      <c r="H411">
        <v>675</v>
      </c>
      <c r="I411">
        <v>651</v>
      </c>
      <c r="J411">
        <v>642</v>
      </c>
      <c r="K411">
        <v>588</v>
      </c>
      <c r="L411">
        <v>663</v>
      </c>
      <c r="M411">
        <v>660</v>
      </c>
      <c r="N411">
        <v>646</v>
      </c>
      <c r="O411" s="173">
        <f t="shared" si="90"/>
        <v>654</v>
      </c>
      <c r="P411" s="173">
        <f t="shared" si="91"/>
        <v>-54.25</v>
      </c>
      <c r="Q411" s="177">
        <f t="shared" si="92"/>
        <v>-7.6597246734909988E-2</v>
      </c>
    </row>
    <row r="412" spans="2:17" x14ac:dyDescent="0.2">
      <c r="B412" t="s">
        <v>411</v>
      </c>
      <c r="C412">
        <v>652</v>
      </c>
      <c r="D412">
        <v>655</v>
      </c>
      <c r="E412">
        <v>667</v>
      </c>
      <c r="F412">
        <v>658</v>
      </c>
      <c r="G412">
        <v>671</v>
      </c>
      <c r="H412">
        <v>681</v>
      </c>
      <c r="I412">
        <v>677</v>
      </c>
      <c r="J412">
        <v>673</v>
      </c>
      <c r="K412">
        <v>663</v>
      </c>
      <c r="L412">
        <v>656</v>
      </c>
      <c r="M412">
        <v>662</v>
      </c>
      <c r="N412">
        <v>679</v>
      </c>
      <c r="O412" s="173">
        <f t="shared" si="90"/>
        <v>666.16666666666663</v>
      </c>
      <c r="P412" s="173">
        <f t="shared" si="91"/>
        <v>12.166666666666629</v>
      </c>
      <c r="Q412" s="177">
        <f t="shared" si="92"/>
        <v>1.8603465851172216E-2</v>
      </c>
    </row>
    <row r="413" spans="2:17" x14ac:dyDescent="0.2">
      <c r="B413" t="s">
        <v>445</v>
      </c>
      <c r="C413">
        <v>674</v>
      </c>
      <c r="D413">
        <v>675</v>
      </c>
      <c r="E413">
        <v>693</v>
      </c>
      <c r="F413">
        <v>708</v>
      </c>
      <c r="G413">
        <v>741</v>
      </c>
      <c r="H413">
        <v>687</v>
      </c>
      <c r="I413">
        <v>729</v>
      </c>
      <c r="J413">
        <v>690</v>
      </c>
      <c r="K413">
        <v>701</v>
      </c>
      <c r="L413">
        <v>693</v>
      </c>
      <c r="M413">
        <v>738</v>
      </c>
      <c r="N413">
        <v>729</v>
      </c>
      <c r="O413" s="173">
        <f t="shared" si="90"/>
        <v>704.83333333333337</v>
      </c>
      <c r="P413" s="173">
        <f t="shared" si="91"/>
        <v>38.666666666666742</v>
      </c>
      <c r="Q413" s="177">
        <f t="shared" si="92"/>
        <v>5.804353264948723E-2</v>
      </c>
    </row>
    <row r="414" spans="2:17" x14ac:dyDescent="0.2">
      <c r="B414" t="s">
        <v>510</v>
      </c>
      <c r="C414">
        <v>722</v>
      </c>
      <c r="D414">
        <v>713</v>
      </c>
      <c r="E414">
        <v>717</v>
      </c>
      <c r="F414">
        <v>696</v>
      </c>
      <c r="G414">
        <v>673</v>
      </c>
      <c r="H414">
        <v>688</v>
      </c>
      <c r="I414">
        <v>676</v>
      </c>
      <c r="J414">
        <v>681</v>
      </c>
      <c r="K414">
        <v>670</v>
      </c>
      <c r="L414">
        <v>672</v>
      </c>
      <c r="M414">
        <v>697</v>
      </c>
      <c r="N414">
        <v>744</v>
      </c>
      <c r="O414" s="173">
        <f t="shared" si="90"/>
        <v>695.75</v>
      </c>
      <c r="P414" s="173">
        <f t="shared" si="91"/>
        <v>-9.0833333333333712</v>
      </c>
      <c r="Q414" s="177">
        <f t="shared" si="92"/>
        <v>-1.2887207377630699E-2</v>
      </c>
    </row>
    <row r="415" spans="2:17" x14ac:dyDescent="0.2">
      <c r="B415" t="s">
        <v>546</v>
      </c>
      <c r="C415">
        <v>681</v>
      </c>
      <c r="D415">
        <v>668</v>
      </c>
      <c r="E415">
        <v>662</v>
      </c>
      <c r="F415">
        <v>638</v>
      </c>
      <c r="G415">
        <v>665</v>
      </c>
      <c r="H415">
        <v>654</v>
      </c>
      <c r="I415">
        <v>640</v>
      </c>
      <c r="J415">
        <v>628</v>
      </c>
      <c r="K415">
        <v>699</v>
      </c>
      <c r="L415">
        <v>611</v>
      </c>
      <c r="M415">
        <v>605</v>
      </c>
      <c r="N415">
        <v>589</v>
      </c>
      <c r="O415" s="173">
        <f t="shared" si="90"/>
        <v>645</v>
      </c>
      <c r="P415" s="173">
        <f>SUM(O415-O414)</f>
        <v>-50.75</v>
      </c>
      <c r="Q415" s="177">
        <f>SUM(P415/O414)</f>
        <v>-7.294286740927057E-2</v>
      </c>
    </row>
    <row r="416" spans="2:17" x14ac:dyDescent="0.2">
      <c r="B416" t="s">
        <v>547</v>
      </c>
      <c r="C416">
        <v>578</v>
      </c>
      <c r="D416">
        <v>579</v>
      </c>
      <c r="E416">
        <v>577</v>
      </c>
      <c r="F416">
        <v>568</v>
      </c>
      <c r="G416">
        <v>572</v>
      </c>
      <c r="H416">
        <v>550</v>
      </c>
      <c r="I416">
        <v>554</v>
      </c>
      <c r="J416">
        <v>550</v>
      </c>
      <c r="K416">
        <v>559</v>
      </c>
      <c r="L416">
        <v>576</v>
      </c>
      <c r="M416">
        <v>548</v>
      </c>
      <c r="N416">
        <v>537</v>
      </c>
      <c r="O416" s="173">
        <f t="shared" si="90"/>
        <v>562.33333333333337</v>
      </c>
      <c r="P416" s="173">
        <f>SUM(O416-O415)</f>
        <v>-82.666666666666629</v>
      </c>
      <c r="Q416" s="177">
        <f>SUM(P416/O415)</f>
        <v>-0.12816537467700254</v>
      </c>
    </row>
    <row r="417" spans="1:17" x14ac:dyDescent="0.2">
      <c r="B417" t="s">
        <v>817</v>
      </c>
      <c r="C417">
        <v>512</v>
      </c>
      <c r="D417">
        <v>549</v>
      </c>
      <c r="E417">
        <v>569</v>
      </c>
      <c r="F417">
        <v>581</v>
      </c>
      <c r="G417">
        <v>582</v>
      </c>
      <c r="H417">
        <v>541</v>
      </c>
      <c r="I417">
        <v>539</v>
      </c>
      <c r="J417">
        <v>533</v>
      </c>
      <c r="K417">
        <v>554</v>
      </c>
      <c r="L417">
        <v>553</v>
      </c>
      <c r="M417">
        <v>556</v>
      </c>
      <c r="N417">
        <v>563</v>
      </c>
      <c r="O417" s="173">
        <f t="shared" si="90"/>
        <v>552.66666666666663</v>
      </c>
      <c r="P417" s="173">
        <f>SUM(O417-O416)</f>
        <v>-9.6666666666667425</v>
      </c>
      <c r="Q417" s="177">
        <f>SUM(P417/O416)</f>
        <v>-1.7190278601067116E-2</v>
      </c>
    </row>
    <row r="418" spans="1:17" x14ac:dyDescent="0.2">
      <c r="B418" t="s">
        <v>818</v>
      </c>
      <c r="C418">
        <v>553</v>
      </c>
      <c r="D418">
        <v>524</v>
      </c>
      <c r="O418" s="173"/>
      <c r="P418" s="173"/>
      <c r="Q418" s="177"/>
    </row>
    <row r="419" spans="1:17" ht="25.5" x14ac:dyDescent="0.2">
      <c r="A419" s="175" t="s">
        <v>417</v>
      </c>
      <c r="B419" s="176" t="s">
        <v>392</v>
      </c>
      <c r="C419" s="178" t="s">
        <v>393</v>
      </c>
      <c r="D419" s="178" t="s">
        <v>394</v>
      </c>
      <c r="E419" s="178" t="s">
        <v>395</v>
      </c>
      <c r="F419" s="178" t="s">
        <v>396</v>
      </c>
      <c r="G419" s="178" t="s">
        <v>397</v>
      </c>
      <c r="H419" s="178" t="s">
        <v>398</v>
      </c>
      <c r="I419" s="178" t="s">
        <v>399</v>
      </c>
      <c r="J419" s="178" t="s">
        <v>400</v>
      </c>
      <c r="K419" s="178" t="s">
        <v>401</v>
      </c>
      <c r="L419" s="178" t="s">
        <v>402</v>
      </c>
      <c r="M419" s="178" t="s">
        <v>403</v>
      </c>
      <c r="N419" s="178" t="s">
        <v>404</v>
      </c>
    </row>
    <row r="420" spans="1:17" x14ac:dyDescent="0.2">
      <c r="B420" t="s">
        <v>408</v>
      </c>
      <c r="C420">
        <v>227</v>
      </c>
      <c r="D420">
        <v>238</v>
      </c>
      <c r="E420">
        <v>241</v>
      </c>
      <c r="F420">
        <v>237</v>
      </c>
      <c r="G420">
        <v>237</v>
      </c>
      <c r="H420">
        <v>245</v>
      </c>
      <c r="I420">
        <v>239</v>
      </c>
      <c r="J420">
        <v>232</v>
      </c>
      <c r="K420">
        <v>228</v>
      </c>
      <c r="L420">
        <v>226</v>
      </c>
      <c r="M420">
        <v>226</v>
      </c>
      <c r="N420">
        <v>238</v>
      </c>
      <c r="O420" s="173">
        <f t="shared" ref="O420:O437" si="93">SUM(C420:N420)/12</f>
        <v>234.5</v>
      </c>
      <c r="P420" s="173"/>
    </row>
    <row r="421" spans="1:17" x14ac:dyDescent="0.2">
      <c r="B421" t="s">
        <v>409</v>
      </c>
      <c r="C421">
        <v>227</v>
      </c>
      <c r="D421">
        <v>234</v>
      </c>
      <c r="E421">
        <v>235</v>
      </c>
      <c r="F421">
        <v>220</v>
      </c>
      <c r="G421">
        <v>231</v>
      </c>
      <c r="H421">
        <v>222</v>
      </c>
      <c r="I421">
        <v>209</v>
      </c>
      <c r="J421">
        <v>216</v>
      </c>
      <c r="K421">
        <v>219</v>
      </c>
      <c r="L421">
        <v>212</v>
      </c>
      <c r="M421">
        <v>211</v>
      </c>
      <c r="N421">
        <v>211</v>
      </c>
      <c r="O421" s="173">
        <f t="shared" si="93"/>
        <v>220.58333333333334</v>
      </c>
      <c r="P421" s="173">
        <f t="shared" ref="P421:P434" si="94">SUM(O421-O420)</f>
        <v>-13.916666666666657</v>
      </c>
      <c r="Q421" s="177">
        <f t="shared" ref="Q421:Q434" si="95">SUM(P421/O420)</f>
        <v>-5.9346126510305575E-2</v>
      </c>
    </row>
    <row r="422" spans="1:17" x14ac:dyDescent="0.2">
      <c r="B422" t="s">
        <v>410</v>
      </c>
      <c r="C422">
        <v>210</v>
      </c>
      <c r="D422">
        <v>212</v>
      </c>
      <c r="E422">
        <v>205</v>
      </c>
      <c r="F422">
        <v>205</v>
      </c>
      <c r="G422">
        <v>220</v>
      </c>
      <c r="H422">
        <v>221</v>
      </c>
      <c r="I422">
        <v>223</v>
      </c>
      <c r="J422">
        <v>227</v>
      </c>
      <c r="K422">
        <v>230</v>
      </c>
      <c r="L422">
        <v>204</v>
      </c>
      <c r="M422">
        <v>178</v>
      </c>
      <c r="N422">
        <v>152</v>
      </c>
      <c r="O422" s="173">
        <f t="shared" si="93"/>
        <v>207.25</v>
      </c>
      <c r="P422" s="173">
        <f t="shared" si="94"/>
        <v>-13.333333333333343</v>
      </c>
      <c r="Q422" s="177">
        <f t="shared" si="95"/>
        <v>-6.0445787684170797E-2</v>
      </c>
    </row>
    <row r="423" spans="1:17" x14ac:dyDescent="0.2">
      <c r="B423" t="s">
        <v>244</v>
      </c>
      <c r="C423">
        <v>257</v>
      </c>
      <c r="D423">
        <v>269</v>
      </c>
      <c r="E423">
        <v>265</v>
      </c>
      <c r="F423">
        <v>244</v>
      </c>
      <c r="G423">
        <v>244</v>
      </c>
      <c r="H423">
        <v>244</v>
      </c>
      <c r="I423">
        <v>244</v>
      </c>
      <c r="J423">
        <v>244</v>
      </c>
      <c r="K423">
        <v>244</v>
      </c>
      <c r="L423">
        <v>244</v>
      </c>
      <c r="M423">
        <v>244</v>
      </c>
      <c r="N423">
        <v>244</v>
      </c>
      <c r="O423" s="173">
        <f t="shared" si="93"/>
        <v>248.91666666666666</v>
      </c>
      <c r="P423" s="173">
        <f t="shared" si="94"/>
        <v>41.666666666666657</v>
      </c>
      <c r="Q423" s="177">
        <f t="shared" si="95"/>
        <v>0.20104543626859667</v>
      </c>
    </row>
    <row r="424" spans="1:17" x14ac:dyDescent="0.2">
      <c r="B424" t="s">
        <v>243</v>
      </c>
      <c r="C424">
        <v>239</v>
      </c>
      <c r="D424">
        <v>224</v>
      </c>
      <c r="E424">
        <v>226</v>
      </c>
      <c r="F424">
        <v>219</v>
      </c>
      <c r="G424">
        <v>227</v>
      </c>
      <c r="H424">
        <v>220</v>
      </c>
      <c r="I424">
        <v>214</v>
      </c>
      <c r="J424">
        <v>214</v>
      </c>
      <c r="K424">
        <v>205</v>
      </c>
      <c r="L424">
        <v>216</v>
      </c>
      <c r="M424">
        <v>210</v>
      </c>
      <c r="N424">
        <v>213</v>
      </c>
      <c r="O424" s="173">
        <f t="shared" si="93"/>
        <v>218.91666666666666</v>
      </c>
      <c r="P424" s="173">
        <f t="shared" si="94"/>
        <v>-30</v>
      </c>
      <c r="Q424" s="177">
        <f t="shared" si="95"/>
        <v>-0.12052226314027453</v>
      </c>
    </row>
    <row r="425" spans="1:17" x14ac:dyDescent="0.2">
      <c r="B425" t="s">
        <v>264</v>
      </c>
      <c r="C425">
        <v>214</v>
      </c>
      <c r="D425">
        <v>211</v>
      </c>
      <c r="E425">
        <v>207</v>
      </c>
      <c r="F425">
        <v>229</v>
      </c>
      <c r="G425">
        <v>243</v>
      </c>
      <c r="H425">
        <v>240</v>
      </c>
      <c r="I425">
        <v>243</v>
      </c>
      <c r="J425">
        <v>245</v>
      </c>
      <c r="K425">
        <v>245</v>
      </c>
      <c r="L425">
        <v>259</v>
      </c>
      <c r="M425">
        <v>261</v>
      </c>
      <c r="N425">
        <v>263</v>
      </c>
      <c r="O425" s="173">
        <f t="shared" si="93"/>
        <v>238.33333333333334</v>
      </c>
      <c r="P425" s="173">
        <f t="shared" si="94"/>
        <v>19.416666666666686</v>
      </c>
      <c r="Q425" s="177">
        <f t="shared" si="95"/>
        <v>8.8694328130947936E-2</v>
      </c>
    </row>
    <row r="426" spans="1:17" x14ac:dyDescent="0.2">
      <c r="B426" t="s">
        <v>274</v>
      </c>
      <c r="C426">
        <v>264</v>
      </c>
      <c r="D426">
        <v>263</v>
      </c>
      <c r="E426">
        <v>264</v>
      </c>
      <c r="F426">
        <v>259</v>
      </c>
      <c r="G426">
        <v>262</v>
      </c>
      <c r="H426">
        <v>259</v>
      </c>
      <c r="I426">
        <v>244</v>
      </c>
      <c r="J426">
        <v>246</v>
      </c>
      <c r="K426">
        <v>253</v>
      </c>
      <c r="L426">
        <v>249</v>
      </c>
      <c r="M426">
        <v>248</v>
      </c>
      <c r="N426">
        <v>256</v>
      </c>
      <c r="O426" s="173">
        <f t="shared" si="93"/>
        <v>255.58333333333334</v>
      </c>
      <c r="P426" s="173">
        <f t="shared" si="94"/>
        <v>17.25</v>
      </c>
      <c r="Q426" s="177">
        <f t="shared" si="95"/>
        <v>7.237762237762238E-2</v>
      </c>
    </row>
    <row r="427" spans="1:17" x14ac:dyDescent="0.2">
      <c r="B427" t="s">
        <v>277</v>
      </c>
      <c r="C427">
        <v>259</v>
      </c>
      <c r="D427">
        <v>269</v>
      </c>
      <c r="E427">
        <v>262</v>
      </c>
      <c r="F427">
        <v>281</v>
      </c>
      <c r="G427">
        <v>292</v>
      </c>
      <c r="H427">
        <v>287</v>
      </c>
      <c r="I427">
        <v>285</v>
      </c>
      <c r="J427">
        <v>271</v>
      </c>
      <c r="K427">
        <v>263</v>
      </c>
      <c r="L427">
        <v>304</v>
      </c>
      <c r="M427">
        <v>301</v>
      </c>
      <c r="N427">
        <v>256</v>
      </c>
      <c r="O427" s="173">
        <f t="shared" si="93"/>
        <v>277.5</v>
      </c>
      <c r="P427" s="173">
        <f t="shared" si="94"/>
        <v>21.916666666666657</v>
      </c>
      <c r="Q427" s="177">
        <f t="shared" si="95"/>
        <v>8.5751548744701617E-2</v>
      </c>
    </row>
    <row r="428" spans="1:17" x14ac:dyDescent="0.2">
      <c r="B428" t="s">
        <v>278</v>
      </c>
      <c r="C428">
        <v>263</v>
      </c>
      <c r="D428">
        <v>269</v>
      </c>
      <c r="E428">
        <v>260</v>
      </c>
      <c r="F428">
        <v>254</v>
      </c>
      <c r="G428">
        <v>247</v>
      </c>
      <c r="H428">
        <v>251</v>
      </c>
      <c r="I428">
        <v>244</v>
      </c>
      <c r="J428">
        <v>235</v>
      </c>
      <c r="K428">
        <v>233</v>
      </c>
      <c r="L428">
        <v>251</v>
      </c>
      <c r="M428">
        <v>278</v>
      </c>
      <c r="N428">
        <v>279</v>
      </c>
      <c r="O428" s="173">
        <f t="shared" si="93"/>
        <v>255.33333333333334</v>
      </c>
      <c r="P428" s="173">
        <f t="shared" si="94"/>
        <v>-22.166666666666657</v>
      </c>
      <c r="Q428" s="177">
        <f t="shared" si="95"/>
        <v>-7.987987987987985E-2</v>
      </c>
    </row>
    <row r="429" spans="1:17" x14ac:dyDescent="0.2">
      <c r="B429" t="s">
        <v>279</v>
      </c>
      <c r="C429">
        <v>271</v>
      </c>
      <c r="D429">
        <v>264</v>
      </c>
      <c r="E429">
        <v>264</v>
      </c>
      <c r="F429">
        <v>265</v>
      </c>
      <c r="G429">
        <v>260</v>
      </c>
      <c r="H429">
        <v>261</v>
      </c>
      <c r="I429">
        <v>266</v>
      </c>
      <c r="J429">
        <v>257</v>
      </c>
      <c r="K429">
        <v>261</v>
      </c>
      <c r="L429">
        <v>270</v>
      </c>
      <c r="M429">
        <v>273</v>
      </c>
      <c r="N429">
        <v>267</v>
      </c>
      <c r="O429" s="173">
        <f t="shared" si="93"/>
        <v>264.91666666666669</v>
      </c>
      <c r="P429" s="173">
        <f t="shared" si="94"/>
        <v>9.5833333333333428</v>
      </c>
      <c r="Q429" s="177">
        <f t="shared" si="95"/>
        <v>3.7532637075718051E-2</v>
      </c>
    </row>
    <row r="430" spans="1:17" x14ac:dyDescent="0.2">
      <c r="B430" t="s">
        <v>317</v>
      </c>
      <c r="C430">
        <v>267</v>
      </c>
      <c r="D430">
        <v>266</v>
      </c>
      <c r="E430">
        <v>268</v>
      </c>
      <c r="F430">
        <v>273</v>
      </c>
      <c r="G430">
        <v>266</v>
      </c>
      <c r="H430">
        <v>255</v>
      </c>
      <c r="I430">
        <v>256</v>
      </c>
      <c r="J430">
        <v>248</v>
      </c>
      <c r="K430">
        <v>253</v>
      </c>
      <c r="L430">
        <v>255</v>
      </c>
      <c r="M430">
        <v>251</v>
      </c>
      <c r="N430">
        <v>255</v>
      </c>
      <c r="O430" s="173">
        <f t="shared" si="93"/>
        <v>259.41666666666669</v>
      </c>
      <c r="P430" s="173">
        <f t="shared" si="94"/>
        <v>-5.5</v>
      </c>
      <c r="Q430" s="177">
        <f t="shared" si="95"/>
        <v>-2.0761245674740483E-2</v>
      </c>
    </row>
    <row r="431" spans="1:17" x14ac:dyDescent="0.2">
      <c r="B431" t="s">
        <v>338</v>
      </c>
      <c r="C431">
        <v>260</v>
      </c>
      <c r="D431">
        <v>250</v>
      </c>
      <c r="E431">
        <v>251</v>
      </c>
      <c r="F431">
        <v>257</v>
      </c>
      <c r="G431">
        <v>258</v>
      </c>
      <c r="H431">
        <v>252</v>
      </c>
      <c r="I431">
        <v>247</v>
      </c>
      <c r="J431">
        <v>244</v>
      </c>
      <c r="K431">
        <v>299</v>
      </c>
      <c r="L431">
        <v>242</v>
      </c>
      <c r="M431">
        <v>246</v>
      </c>
      <c r="N431">
        <v>247</v>
      </c>
      <c r="O431" s="173">
        <f t="shared" si="93"/>
        <v>254.41666666666666</v>
      </c>
      <c r="P431" s="173">
        <f t="shared" si="94"/>
        <v>-5.0000000000000284</v>
      </c>
      <c r="Q431" s="177">
        <f t="shared" si="95"/>
        <v>-1.9274012206874507E-2</v>
      </c>
    </row>
    <row r="432" spans="1:17" x14ac:dyDescent="0.2">
      <c r="B432" t="s">
        <v>411</v>
      </c>
      <c r="C432">
        <v>247</v>
      </c>
      <c r="D432">
        <v>250</v>
      </c>
      <c r="E432">
        <v>259</v>
      </c>
      <c r="F432">
        <v>259</v>
      </c>
      <c r="G432">
        <v>260</v>
      </c>
      <c r="H432">
        <v>269</v>
      </c>
      <c r="I432">
        <v>253</v>
      </c>
      <c r="J432">
        <v>246</v>
      </c>
      <c r="K432">
        <v>259</v>
      </c>
      <c r="L432">
        <v>253</v>
      </c>
      <c r="M432">
        <v>236</v>
      </c>
      <c r="N432">
        <v>227</v>
      </c>
      <c r="O432" s="173">
        <f t="shared" si="93"/>
        <v>251.5</v>
      </c>
      <c r="P432" s="173">
        <f t="shared" si="94"/>
        <v>-2.9166666666666572</v>
      </c>
      <c r="Q432" s="177">
        <f t="shared" si="95"/>
        <v>-1.1464133639043526E-2</v>
      </c>
    </row>
    <row r="433" spans="1:17" x14ac:dyDescent="0.2">
      <c r="B433" t="s">
        <v>445</v>
      </c>
      <c r="C433">
        <v>230</v>
      </c>
      <c r="D433">
        <v>228</v>
      </c>
      <c r="E433">
        <v>245</v>
      </c>
      <c r="F433">
        <v>241</v>
      </c>
      <c r="G433">
        <v>241</v>
      </c>
      <c r="H433">
        <v>233</v>
      </c>
      <c r="I433">
        <v>245</v>
      </c>
      <c r="J433">
        <v>265</v>
      </c>
      <c r="K433">
        <v>258</v>
      </c>
      <c r="L433">
        <v>261</v>
      </c>
      <c r="M433">
        <v>241</v>
      </c>
      <c r="N433">
        <v>231</v>
      </c>
      <c r="O433" s="173">
        <f t="shared" si="93"/>
        <v>243.25</v>
      </c>
      <c r="P433" s="173">
        <f t="shared" si="94"/>
        <v>-8.25</v>
      </c>
      <c r="Q433" s="177">
        <f t="shared" si="95"/>
        <v>-3.2803180914512925E-2</v>
      </c>
    </row>
    <row r="434" spans="1:17" x14ac:dyDescent="0.2">
      <c r="B434" t="s">
        <v>510</v>
      </c>
      <c r="C434">
        <v>265</v>
      </c>
      <c r="D434">
        <v>253</v>
      </c>
      <c r="E434">
        <v>234</v>
      </c>
      <c r="F434">
        <v>254</v>
      </c>
      <c r="G434">
        <v>242</v>
      </c>
      <c r="H434">
        <v>256</v>
      </c>
      <c r="I434">
        <v>262</v>
      </c>
      <c r="J434">
        <v>264</v>
      </c>
      <c r="K434">
        <v>253</v>
      </c>
      <c r="L434">
        <v>262</v>
      </c>
      <c r="M434">
        <v>274</v>
      </c>
      <c r="N434">
        <v>288</v>
      </c>
      <c r="O434" s="173">
        <f t="shared" si="93"/>
        <v>258.91666666666669</v>
      </c>
      <c r="P434" s="173">
        <f t="shared" si="94"/>
        <v>15.666666666666686</v>
      </c>
      <c r="Q434" s="177">
        <f t="shared" si="95"/>
        <v>6.4405618362452968E-2</v>
      </c>
    </row>
    <row r="435" spans="1:17" x14ac:dyDescent="0.2">
      <c r="B435" t="s">
        <v>546</v>
      </c>
      <c r="C435">
        <v>270</v>
      </c>
      <c r="D435">
        <v>256</v>
      </c>
      <c r="E435">
        <v>264</v>
      </c>
      <c r="F435">
        <v>262</v>
      </c>
      <c r="G435">
        <v>273</v>
      </c>
      <c r="H435">
        <v>282</v>
      </c>
      <c r="I435">
        <v>278</v>
      </c>
      <c r="J435">
        <v>289</v>
      </c>
      <c r="K435">
        <v>303</v>
      </c>
      <c r="L435">
        <v>332</v>
      </c>
      <c r="M435">
        <v>335</v>
      </c>
      <c r="N435">
        <v>367</v>
      </c>
      <c r="O435" s="173">
        <f t="shared" si="93"/>
        <v>292.58333333333331</v>
      </c>
      <c r="P435" s="173">
        <f>SUM(O435-O434)</f>
        <v>33.666666666666629</v>
      </c>
      <c r="Q435" s="177">
        <f>SUM(P435/O434)</f>
        <v>0.13002896684905038</v>
      </c>
    </row>
    <row r="436" spans="1:17" x14ac:dyDescent="0.2">
      <c r="B436" t="s">
        <v>547</v>
      </c>
      <c r="C436">
        <v>331</v>
      </c>
      <c r="D436">
        <v>343</v>
      </c>
      <c r="E436">
        <v>340</v>
      </c>
      <c r="F436">
        <v>322</v>
      </c>
      <c r="G436">
        <v>332</v>
      </c>
      <c r="H436">
        <v>340</v>
      </c>
      <c r="I436">
        <v>347</v>
      </c>
      <c r="J436">
        <v>325</v>
      </c>
      <c r="K436">
        <v>319</v>
      </c>
      <c r="L436">
        <v>275</v>
      </c>
      <c r="M436">
        <v>268</v>
      </c>
      <c r="N436">
        <v>268</v>
      </c>
      <c r="O436" s="173">
        <f t="shared" si="93"/>
        <v>317.5</v>
      </c>
      <c r="P436" s="173">
        <f>SUM(O436-O435)</f>
        <v>24.916666666666686</v>
      </c>
      <c r="Q436" s="177">
        <f>SUM(P436/O435)</f>
        <v>8.5160922814013176E-2</v>
      </c>
    </row>
    <row r="437" spans="1:17" x14ac:dyDescent="0.2">
      <c r="B437" t="s">
        <v>817</v>
      </c>
      <c r="C437">
        <v>283</v>
      </c>
      <c r="D437">
        <v>280</v>
      </c>
      <c r="E437">
        <v>263</v>
      </c>
      <c r="F437">
        <v>262</v>
      </c>
      <c r="G437">
        <v>269</v>
      </c>
      <c r="H437">
        <v>266</v>
      </c>
      <c r="I437">
        <v>269</v>
      </c>
      <c r="J437">
        <v>261</v>
      </c>
      <c r="K437">
        <v>249</v>
      </c>
      <c r="L437">
        <v>248</v>
      </c>
      <c r="M437">
        <v>241</v>
      </c>
      <c r="N437">
        <v>237</v>
      </c>
      <c r="O437" s="173">
        <f t="shared" si="93"/>
        <v>260.66666666666669</v>
      </c>
      <c r="P437" s="173">
        <f>SUM(O437-O436)</f>
        <v>-56.833333333333314</v>
      </c>
      <c r="Q437" s="177">
        <f>SUM(P437/O436)</f>
        <v>-0.17900262467191594</v>
      </c>
    </row>
    <row r="438" spans="1:17" x14ac:dyDescent="0.2">
      <c r="B438" t="s">
        <v>818</v>
      </c>
      <c r="C438">
        <v>231</v>
      </c>
      <c r="D438">
        <v>219</v>
      </c>
      <c r="O438" s="173"/>
      <c r="P438" s="173"/>
      <c r="Q438" s="177"/>
    </row>
    <row r="439" spans="1:17" x14ac:dyDescent="0.2">
      <c r="A439" s="520"/>
      <c r="B439" s="520"/>
      <c r="C439" s="520"/>
      <c r="D439" s="520"/>
      <c r="E439" s="520"/>
      <c r="F439" s="520"/>
      <c r="G439" s="520"/>
      <c r="H439" s="520"/>
      <c r="I439" s="520"/>
      <c r="J439" s="520"/>
      <c r="K439" s="520"/>
      <c r="L439" s="520"/>
      <c r="M439" s="520"/>
      <c r="N439" s="520"/>
      <c r="O439" s="520"/>
      <c r="P439" s="520"/>
      <c r="Q439" s="520"/>
    </row>
    <row r="440" spans="1:17" ht="25.5" x14ac:dyDescent="0.2">
      <c r="A440" s="175" t="s">
        <v>418</v>
      </c>
      <c r="B440" s="176" t="s">
        <v>392</v>
      </c>
      <c r="C440" s="178" t="s">
        <v>393</v>
      </c>
      <c r="D440" s="178" t="s">
        <v>394</v>
      </c>
      <c r="E440" s="178" t="s">
        <v>395</v>
      </c>
      <c r="F440" s="178" t="s">
        <v>396</v>
      </c>
      <c r="G440" s="178" t="s">
        <v>397</v>
      </c>
      <c r="H440" s="178" t="s">
        <v>398</v>
      </c>
      <c r="I440" s="178" t="s">
        <v>399</v>
      </c>
      <c r="J440" s="178" t="s">
        <v>400</v>
      </c>
      <c r="K440" s="178" t="s">
        <v>401</v>
      </c>
      <c r="L440" s="178" t="s">
        <v>402</v>
      </c>
      <c r="M440" s="178" t="s">
        <v>403</v>
      </c>
      <c r="N440" s="178" t="s">
        <v>404</v>
      </c>
    </row>
    <row r="441" spans="1:17" x14ac:dyDescent="0.2">
      <c r="B441" t="s">
        <v>408</v>
      </c>
      <c r="C441">
        <v>204</v>
      </c>
      <c r="D441">
        <v>210</v>
      </c>
      <c r="E441">
        <v>215</v>
      </c>
      <c r="F441">
        <v>213</v>
      </c>
      <c r="G441">
        <v>212</v>
      </c>
      <c r="H441">
        <v>207</v>
      </c>
      <c r="I441">
        <v>200</v>
      </c>
      <c r="J441">
        <v>199</v>
      </c>
      <c r="K441">
        <v>192</v>
      </c>
      <c r="L441">
        <v>192</v>
      </c>
      <c r="M441">
        <v>181</v>
      </c>
      <c r="N441">
        <v>189</v>
      </c>
      <c r="O441" s="173">
        <f t="shared" ref="O441:O458" si="96">SUM(C441:N441)/12</f>
        <v>201.16666666666666</v>
      </c>
      <c r="P441" s="173"/>
    </row>
    <row r="442" spans="1:17" x14ac:dyDescent="0.2">
      <c r="B442" t="s">
        <v>409</v>
      </c>
      <c r="C442">
        <v>191</v>
      </c>
      <c r="D442">
        <v>194</v>
      </c>
      <c r="E442">
        <v>194</v>
      </c>
      <c r="F442">
        <v>191</v>
      </c>
      <c r="G442">
        <v>191</v>
      </c>
      <c r="H442">
        <v>198</v>
      </c>
      <c r="I442">
        <v>185</v>
      </c>
      <c r="J442">
        <v>192</v>
      </c>
      <c r="K442">
        <v>188</v>
      </c>
      <c r="L442">
        <v>198</v>
      </c>
      <c r="M442">
        <v>203</v>
      </c>
      <c r="N442">
        <v>203</v>
      </c>
      <c r="O442" s="173">
        <f t="shared" si="96"/>
        <v>194</v>
      </c>
      <c r="P442" s="173">
        <f t="shared" ref="P442:P455" si="97">SUM(O442-O441)</f>
        <v>-7.1666666666666572</v>
      </c>
      <c r="Q442" s="177">
        <f t="shared" ref="Q442:Q455" si="98">SUM(P442/O441)</f>
        <v>-3.5625517812758863E-2</v>
      </c>
    </row>
    <row r="443" spans="1:17" x14ac:dyDescent="0.2">
      <c r="B443" t="s">
        <v>410</v>
      </c>
      <c r="C443">
        <v>201</v>
      </c>
      <c r="D443">
        <v>196</v>
      </c>
      <c r="E443">
        <v>198</v>
      </c>
      <c r="F443">
        <v>188</v>
      </c>
      <c r="G443">
        <v>188</v>
      </c>
      <c r="H443">
        <v>192</v>
      </c>
      <c r="I443">
        <v>189</v>
      </c>
      <c r="J443">
        <v>200</v>
      </c>
      <c r="K443">
        <v>219</v>
      </c>
      <c r="L443">
        <v>228</v>
      </c>
      <c r="M443">
        <v>234</v>
      </c>
      <c r="N443">
        <v>237</v>
      </c>
      <c r="O443" s="173">
        <f t="shared" si="96"/>
        <v>205.83333333333334</v>
      </c>
      <c r="P443" s="173">
        <f t="shared" si="97"/>
        <v>11.833333333333343</v>
      </c>
      <c r="Q443" s="177">
        <f t="shared" si="98"/>
        <v>6.0996563573883208E-2</v>
      </c>
    </row>
    <row r="444" spans="1:17" x14ac:dyDescent="0.2">
      <c r="B444" t="s">
        <v>244</v>
      </c>
      <c r="C444">
        <v>246</v>
      </c>
      <c r="D444">
        <v>242</v>
      </c>
      <c r="E444">
        <v>245</v>
      </c>
      <c r="F444">
        <v>245</v>
      </c>
      <c r="G444">
        <v>245</v>
      </c>
      <c r="H444">
        <v>245</v>
      </c>
      <c r="I444">
        <v>245</v>
      </c>
      <c r="J444">
        <v>245</v>
      </c>
      <c r="K444">
        <v>245</v>
      </c>
      <c r="L444">
        <v>245</v>
      </c>
      <c r="M444">
        <v>245</v>
      </c>
      <c r="N444">
        <v>245</v>
      </c>
      <c r="O444" s="173">
        <f t="shared" si="96"/>
        <v>244.83333333333334</v>
      </c>
      <c r="P444" s="173">
        <f t="shared" si="97"/>
        <v>39</v>
      </c>
      <c r="Q444" s="177">
        <f t="shared" si="98"/>
        <v>0.18947368421052629</v>
      </c>
    </row>
    <row r="445" spans="1:17" x14ac:dyDescent="0.2">
      <c r="B445" t="s">
        <v>243</v>
      </c>
      <c r="C445">
        <v>219</v>
      </c>
      <c r="D445">
        <v>239</v>
      </c>
      <c r="E445">
        <v>239</v>
      </c>
      <c r="F445">
        <v>242</v>
      </c>
      <c r="G445">
        <v>237</v>
      </c>
      <c r="H445">
        <v>248</v>
      </c>
      <c r="I445">
        <v>255</v>
      </c>
      <c r="J445">
        <v>262</v>
      </c>
      <c r="K445">
        <v>263</v>
      </c>
      <c r="L445">
        <v>274</v>
      </c>
      <c r="M445">
        <v>266</v>
      </c>
      <c r="N445">
        <v>278</v>
      </c>
      <c r="O445" s="173">
        <f t="shared" si="96"/>
        <v>251.83333333333334</v>
      </c>
      <c r="P445" s="173">
        <f t="shared" si="97"/>
        <v>7</v>
      </c>
      <c r="Q445" s="177">
        <f t="shared" si="98"/>
        <v>2.8590878148400271E-2</v>
      </c>
    </row>
    <row r="446" spans="1:17" x14ac:dyDescent="0.2">
      <c r="B446" t="s">
        <v>264</v>
      </c>
      <c r="C446">
        <v>278</v>
      </c>
      <c r="D446">
        <v>279</v>
      </c>
      <c r="E446">
        <v>277</v>
      </c>
      <c r="F446">
        <v>279</v>
      </c>
      <c r="G446">
        <v>282</v>
      </c>
      <c r="H446">
        <v>282</v>
      </c>
      <c r="I446">
        <v>287</v>
      </c>
      <c r="J446">
        <v>293</v>
      </c>
      <c r="K446">
        <v>299</v>
      </c>
      <c r="L446">
        <v>299</v>
      </c>
      <c r="M446">
        <v>316</v>
      </c>
      <c r="N446">
        <v>325</v>
      </c>
      <c r="O446" s="173">
        <f t="shared" si="96"/>
        <v>291.33333333333331</v>
      </c>
      <c r="P446" s="173">
        <f t="shared" si="97"/>
        <v>39.499999999999972</v>
      </c>
      <c r="Q446" s="177">
        <f t="shared" si="98"/>
        <v>0.15684976836532086</v>
      </c>
    </row>
    <row r="447" spans="1:17" x14ac:dyDescent="0.2">
      <c r="B447" t="s">
        <v>274</v>
      </c>
      <c r="C447">
        <v>335</v>
      </c>
      <c r="D447">
        <v>349</v>
      </c>
      <c r="E447">
        <v>352</v>
      </c>
      <c r="F447">
        <v>352</v>
      </c>
      <c r="G447">
        <v>348</v>
      </c>
      <c r="H447">
        <v>363</v>
      </c>
      <c r="I447">
        <v>362</v>
      </c>
      <c r="J447">
        <v>370</v>
      </c>
      <c r="K447">
        <v>376</v>
      </c>
      <c r="L447">
        <v>393</v>
      </c>
      <c r="M447">
        <v>401</v>
      </c>
      <c r="N447">
        <v>400</v>
      </c>
      <c r="O447" s="173">
        <f t="shared" si="96"/>
        <v>366.75</v>
      </c>
      <c r="P447" s="173">
        <f t="shared" si="97"/>
        <v>75.416666666666686</v>
      </c>
      <c r="Q447" s="177">
        <f t="shared" si="98"/>
        <v>0.25886727688787192</v>
      </c>
    </row>
    <row r="448" spans="1:17" x14ac:dyDescent="0.2">
      <c r="B448" t="s">
        <v>277</v>
      </c>
      <c r="C448">
        <v>397</v>
      </c>
      <c r="D448">
        <v>402</v>
      </c>
      <c r="E448">
        <v>398</v>
      </c>
      <c r="F448">
        <v>408</v>
      </c>
      <c r="G448">
        <v>409</v>
      </c>
      <c r="H448">
        <v>416</v>
      </c>
      <c r="I448">
        <v>415</v>
      </c>
      <c r="J448">
        <v>414</v>
      </c>
      <c r="K448">
        <v>405</v>
      </c>
      <c r="L448">
        <v>486</v>
      </c>
      <c r="M448">
        <v>472</v>
      </c>
      <c r="N448">
        <v>409</v>
      </c>
      <c r="O448" s="173">
        <f t="shared" si="96"/>
        <v>419.25</v>
      </c>
      <c r="P448" s="173">
        <f t="shared" si="97"/>
        <v>52.5</v>
      </c>
      <c r="Q448" s="177">
        <f t="shared" si="98"/>
        <v>0.14314928425357873</v>
      </c>
    </row>
    <row r="449" spans="1:17" x14ac:dyDescent="0.2">
      <c r="B449" t="s">
        <v>278</v>
      </c>
      <c r="C449">
        <v>426</v>
      </c>
      <c r="D449">
        <v>431</v>
      </c>
      <c r="E449">
        <v>506</v>
      </c>
      <c r="F449">
        <v>455</v>
      </c>
      <c r="G449">
        <v>489</v>
      </c>
      <c r="H449">
        <v>513</v>
      </c>
      <c r="I449">
        <v>514</v>
      </c>
      <c r="J449">
        <v>518</v>
      </c>
      <c r="K449">
        <v>505</v>
      </c>
      <c r="L449">
        <v>502</v>
      </c>
      <c r="M449">
        <v>516</v>
      </c>
      <c r="N449">
        <v>530</v>
      </c>
      <c r="O449" s="173">
        <f t="shared" si="96"/>
        <v>492.08333333333331</v>
      </c>
      <c r="P449" s="173">
        <f t="shared" si="97"/>
        <v>72.833333333333314</v>
      </c>
      <c r="Q449" s="177">
        <f t="shared" si="98"/>
        <v>0.17372291790896438</v>
      </c>
    </row>
    <row r="450" spans="1:17" x14ac:dyDescent="0.2">
      <c r="B450" t="s">
        <v>279</v>
      </c>
      <c r="C450">
        <v>482</v>
      </c>
      <c r="D450">
        <v>466</v>
      </c>
      <c r="E450">
        <v>463</v>
      </c>
      <c r="F450">
        <v>466</v>
      </c>
      <c r="G450">
        <v>455</v>
      </c>
      <c r="H450">
        <v>458</v>
      </c>
      <c r="I450">
        <v>448</v>
      </c>
      <c r="J450">
        <v>451</v>
      </c>
      <c r="K450">
        <v>454</v>
      </c>
      <c r="L450">
        <v>449</v>
      </c>
      <c r="M450">
        <v>443</v>
      </c>
      <c r="N450">
        <v>447</v>
      </c>
      <c r="O450" s="173">
        <f t="shared" si="96"/>
        <v>456.83333333333331</v>
      </c>
      <c r="P450" s="173">
        <f t="shared" si="97"/>
        <v>-35.25</v>
      </c>
      <c r="Q450" s="177">
        <f t="shared" si="98"/>
        <v>-7.1634208298052504E-2</v>
      </c>
    </row>
    <row r="451" spans="1:17" x14ac:dyDescent="0.2">
      <c r="B451" t="s">
        <v>317</v>
      </c>
      <c r="C451">
        <v>441</v>
      </c>
      <c r="D451">
        <v>439</v>
      </c>
      <c r="E451">
        <v>439</v>
      </c>
      <c r="F451">
        <v>426</v>
      </c>
      <c r="G451">
        <v>432</v>
      </c>
      <c r="H451">
        <v>465</v>
      </c>
      <c r="I451">
        <v>452</v>
      </c>
      <c r="J451">
        <v>441</v>
      </c>
      <c r="K451">
        <v>443</v>
      </c>
      <c r="L451">
        <v>462</v>
      </c>
      <c r="M451">
        <v>480</v>
      </c>
      <c r="N451">
        <v>467</v>
      </c>
      <c r="O451" s="173">
        <f t="shared" si="96"/>
        <v>448.91666666666669</v>
      </c>
      <c r="P451" s="173">
        <f t="shared" si="97"/>
        <v>-7.9166666666666288</v>
      </c>
      <c r="Q451" s="177">
        <f t="shared" si="98"/>
        <v>-1.7329441809558473E-2</v>
      </c>
    </row>
    <row r="452" spans="1:17" x14ac:dyDescent="0.2">
      <c r="B452" t="s">
        <v>338</v>
      </c>
      <c r="C452">
        <v>465</v>
      </c>
      <c r="D452">
        <v>456</v>
      </c>
      <c r="E452">
        <v>455</v>
      </c>
      <c r="F452">
        <v>464</v>
      </c>
      <c r="G452">
        <v>461</v>
      </c>
      <c r="H452">
        <v>470</v>
      </c>
      <c r="I452">
        <v>443</v>
      </c>
      <c r="J452">
        <v>469</v>
      </c>
      <c r="K452">
        <v>478</v>
      </c>
      <c r="L452">
        <v>471</v>
      </c>
      <c r="M452">
        <v>457</v>
      </c>
      <c r="N452">
        <v>468</v>
      </c>
      <c r="O452" s="173">
        <f t="shared" si="96"/>
        <v>463.08333333333331</v>
      </c>
      <c r="P452" s="173">
        <f t="shared" si="97"/>
        <v>14.166666666666629</v>
      </c>
      <c r="Q452" s="177">
        <f t="shared" si="98"/>
        <v>3.1557453127900419E-2</v>
      </c>
    </row>
    <row r="453" spans="1:17" x14ac:dyDescent="0.2">
      <c r="B453" t="s">
        <v>411</v>
      </c>
      <c r="C453">
        <v>486</v>
      </c>
      <c r="D453">
        <v>496</v>
      </c>
      <c r="E453">
        <v>489</v>
      </c>
      <c r="F453">
        <v>495</v>
      </c>
      <c r="G453">
        <v>495</v>
      </c>
      <c r="H453">
        <v>495</v>
      </c>
      <c r="I453">
        <v>495</v>
      </c>
      <c r="J453">
        <v>500</v>
      </c>
      <c r="K453">
        <v>502</v>
      </c>
      <c r="L453">
        <v>508</v>
      </c>
      <c r="M453">
        <v>497</v>
      </c>
      <c r="N453">
        <v>504</v>
      </c>
      <c r="O453" s="173">
        <f t="shared" si="96"/>
        <v>496.83333333333331</v>
      </c>
      <c r="P453" s="173">
        <f t="shared" si="97"/>
        <v>33.75</v>
      </c>
      <c r="Q453" s="177">
        <f t="shared" si="98"/>
        <v>7.2881050926759047E-2</v>
      </c>
    </row>
    <row r="454" spans="1:17" x14ac:dyDescent="0.2">
      <c r="B454" t="s">
        <v>445</v>
      </c>
      <c r="C454">
        <v>496</v>
      </c>
      <c r="D454">
        <v>494</v>
      </c>
      <c r="E454">
        <v>478</v>
      </c>
      <c r="F454">
        <v>497</v>
      </c>
      <c r="G454">
        <v>499</v>
      </c>
      <c r="H454">
        <v>494</v>
      </c>
      <c r="I454">
        <v>489</v>
      </c>
      <c r="J454">
        <v>495</v>
      </c>
      <c r="K454">
        <v>490</v>
      </c>
      <c r="L454">
        <v>488</v>
      </c>
      <c r="M454">
        <v>497</v>
      </c>
      <c r="N454">
        <v>488</v>
      </c>
      <c r="O454" s="173">
        <f t="shared" si="96"/>
        <v>492.08333333333331</v>
      </c>
      <c r="P454" s="173">
        <f t="shared" si="97"/>
        <v>-4.75</v>
      </c>
      <c r="Q454" s="177">
        <f t="shared" si="98"/>
        <v>-9.5605501509560559E-3</v>
      </c>
    </row>
    <row r="455" spans="1:17" x14ac:dyDescent="0.2">
      <c r="B455" t="s">
        <v>510</v>
      </c>
      <c r="C455">
        <v>487</v>
      </c>
      <c r="D455">
        <v>474</v>
      </c>
      <c r="E455">
        <v>466</v>
      </c>
      <c r="F455">
        <v>470</v>
      </c>
      <c r="G455">
        <v>464</v>
      </c>
      <c r="H455">
        <v>474</v>
      </c>
      <c r="I455">
        <v>469</v>
      </c>
      <c r="J455">
        <v>478</v>
      </c>
      <c r="K455">
        <v>472</v>
      </c>
      <c r="L455">
        <v>468</v>
      </c>
      <c r="M455">
        <v>474</v>
      </c>
      <c r="N455">
        <v>471</v>
      </c>
      <c r="O455" s="173">
        <f t="shared" si="96"/>
        <v>472.25</v>
      </c>
      <c r="P455" s="173">
        <f t="shared" si="97"/>
        <v>-19.833333333333314</v>
      </c>
      <c r="Q455" s="177">
        <f t="shared" si="98"/>
        <v>-4.0304826418289551E-2</v>
      </c>
    </row>
    <row r="456" spans="1:17" x14ac:dyDescent="0.2">
      <c r="B456" t="s">
        <v>546</v>
      </c>
      <c r="C456">
        <v>468</v>
      </c>
      <c r="D456">
        <v>469</v>
      </c>
      <c r="E456">
        <v>451</v>
      </c>
      <c r="F456">
        <v>438</v>
      </c>
      <c r="G456">
        <v>433</v>
      </c>
      <c r="H456">
        <v>425</v>
      </c>
      <c r="I456">
        <v>420</v>
      </c>
      <c r="J456">
        <v>419</v>
      </c>
      <c r="K456">
        <v>418</v>
      </c>
      <c r="L456">
        <v>421</v>
      </c>
      <c r="M456">
        <v>413</v>
      </c>
      <c r="N456">
        <v>411</v>
      </c>
      <c r="O456" s="173">
        <f t="shared" si="96"/>
        <v>432.16666666666669</v>
      </c>
      <c r="P456" s="173">
        <f>SUM(O456-O455)</f>
        <v>-40.083333333333314</v>
      </c>
      <c r="Q456" s="177">
        <f>SUM(P456/O455)</f>
        <v>-8.4877360155284937E-2</v>
      </c>
    </row>
    <row r="457" spans="1:17" x14ac:dyDescent="0.2">
      <c r="B457" t="s">
        <v>547</v>
      </c>
      <c r="C457">
        <v>402</v>
      </c>
      <c r="D457">
        <v>427</v>
      </c>
      <c r="E457">
        <v>427</v>
      </c>
      <c r="F457">
        <v>429</v>
      </c>
      <c r="G457">
        <v>429</v>
      </c>
      <c r="H457">
        <v>433</v>
      </c>
      <c r="I457">
        <v>429</v>
      </c>
      <c r="J457">
        <v>440</v>
      </c>
      <c r="K457">
        <v>435</v>
      </c>
      <c r="L457">
        <v>433</v>
      </c>
      <c r="M457">
        <v>428</v>
      </c>
      <c r="N457">
        <v>425</v>
      </c>
      <c r="O457" s="173">
        <f t="shared" si="96"/>
        <v>428.08333333333331</v>
      </c>
      <c r="P457" s="173">
        <f>SUM(O457-O456)</f>
        <v>-4.0833333333333712</v>
      </c>
      <c r="Q457" s="177">
        <f>SUM(P457/O456)</f>
        <v>-9.4485152333205653E-3</v>
      </c>
    </row>
    <row r="458" spans="1:17" x14ac:dyDescent="0.2">
      <c r="B458" t="s">
        <v>817</v>
      </c>
      <c r="C458">
        <v>426</v>
      </c>
      <c r="D458">
        <v>427</v>
      </c>
      <c r="E458">
        <v>432</v>
      </c>
      <c r="F458">
        <v>435</v>
      </c>
      <c r="G458">
        <v>425</v>
      </c>
      <c r="H458">
        <v>423</v>
      </c>
      <c r="I458">
        <v>420</v>
      </c>
      <c r="J458">
        <v>418</v>
      </c>
      <c r="K458">
        <v>405</v>
      </c>
      <c r="L458">
        <v>390</v>
      </c>
      <c r="M458">
        <v>387</v>
      </c>
      <c r="N458">
        <v>384</v>
      </c>
      <c r="O458" s="173">
        <f t="shared" si="96"/>
        <v>414.33333333333331</v>
      </c>
      <c r="P458" s="173">
        <f>SUM(O458-O457)</f>
        <v>-13.75</v>
      </c>
      <c r="Q458" s="177">
        <f>SUM(P458/O457)</f>
        <v>-3.2119914346895075E-2</v>
      </c>
    </row>
    <row r="459" spans="1:17" x14ac:dyDescent="0.2">
      <c r="B459" t="s">
        <v>818</v>
      </c>
      <c r="C459">
        <v>368</v>
      </c>
      <c r="D459">
        <v>345</v>
      </c>
      <c r="O459" s="173"/>
      <c r="P459" s="173"/>
      <c r="Q459" s="177"/>
    </row>
    <row r="460" spans="1:17" ht="25.5" x14ac:dyDescent="0.2">
      <c r="A460" s="175" t="s">
        <v>419</v>
      </c>
      <c r="B460" s="176" t="s">
        <v>392</v>
      </c>
      <c r="C460" s="178" t="s">
        <v>393</v>
      </c>
      <c r="D460" s="178" t="s">
        <v>394</v>
      </c>
      <c r="E460" s="178" t="s">
        <v>395</v>
      </c>
      <c r="F460" s="178" t="s">
        <v>396</v>
      </c>
      <c r="G460" s="178" t="s">
        <v>397</v>
      </c>
      <c r="H460" s="178" t="s">
        <v>398</v>
      </c>
      <c r="I460" s="178" t="s">
        <v>399</v>
      </c>
      <c r="J460" s="178" t="s">
        <v>400</v>
      </c>
      <c r="K460" s="178" t="s">
        <v>401</v>
      </c>
      <c r="L460" s="178" t="s">
        <v>402</v>
      </c>
      <c r="M460" s="178" t="s">
        <v>403</v>
      </c>
      <c r="N460" s="178" t="s">
        <v>404</v>
      </c>
    </row>
    <row r="461" spans="1:17" x14ac:dyDescent="0.2">
      <c r="B461" t="s">
        <v>408</v>
      </c>
      <c r="C461">
        <v>173</v>
      </c>
      <c r="D461">
        <v>167</v>
      </c>
      <c r="E461">
        <v>163</v>
      </c>
      <c r="F461">
        <v>169</v>
      </c>
      <c r="G461">
        <v>161</v>
      </c>
      <c r="H461">
        <v>164</v>
      </c>
      <c r="I461">
        <v>156</v>
      </c>
      <c r="J461">
        <v>157</v>
      </c>
      <c r="K461">
        <v>148</v>
      </c>
      <c r="L461">
        <v>156</v>
      </c>
      <c r="M461">
        <v>171</v>
      </c>
      <c r="N461">
        <v>177</v>
      </c>
      <c r="O461" s="173">
        <f t="shared" ref="O461:O478" si="99">SUM(C461:N461)/12</f>
        <v>163.5</v>
      </c>
      <c r="P461" s="173"/>
    </row>
    <row r="462" spans="1:17" x14ac:dyDescent="0.2">
      <c r="B462" t="s">
        <v>409</v>
      </c>
      <c r="C462">
        <v>169</v>
      </c>
      <c r="D462">
        <v>160</v>
      </c>
      <c r="E462">
        <v>150</v>
      </c>
      <c r="F462">
        <v>143</v>
      </c>
      <c r="G462">
        <v>143</v>
      </c>
      <c r="H462">
        <v>140</v>
      </c>
      <c r="I462">
        <v>144</v>
      </c>
      <c r="J462">
        <v>152</v>
      </c>
      <c r="K462">
        <v>152</v>
      </c>
      <c r="L462">
        <v>143</v>
      </c>
      <c r="M462">
        <v>151</v>
      </c>
      <c r="N462">
        <v>152</v>
      </c>
      <c r="O462" s="173">
        <f t="shared" si="99"/>
        <v>149.91666666666666</v>
      </c>
      <c r="P462" s="173">
        <f t="shared" ref="P462:P475" si="100">SUM(O462-O461)</f>
        <v>-13.583333333333343</v>
      </c>
      <c r="Q462" s="177">
        <f t="shared" ref="Q462:Q475" si="101">SUM(P462/O461)</f>
        <v>-8.3078491335372123E-2</v>
      </c>
    </row>
    <row r="463" spans="1:17" x14ac:dyDescent="0.2">
      <c r="B463" t="s">
        <v>410</v>
      </c>
      <c r="C463">
        <v>144</v>
      </c>
      <c r="D463">
        <v>141</v>
      </c>
      <c r="E463">
        <v>140</v>
      </c>
      <c r="F463">
        <v>142</v>
      </c>
      <c r="G463">
        <v>138</v>
      </c>
      <c r="H463">
        <v>143</v>
      </c>
      <c r="I463">
        <v>143</v>
      </c>
      <c r="J463">
        <v>152</v>
      </c>
      <c r="K463">
        <v>157</v>
      </c>
      <c r="L463">
        <v>162</v>
      </c>
      <c r="M463">
        <v>167</v>
      </c>
      <c r="N463">
        <v>172</v>
      </c>
      <c r="O463" s="173">
        <f t="shared" si="99"/>
        <v>150.08333333333334</v>
      </c>
      <c r="P463" s="173">
        <f t="shared" si="100"/>
        <v>0.16666666666668561</v>
      </c>
      <c r="Q463" s="177">
        <f t="shared" si="101"/>
        <v>1.1117287381880085E-3</v>
      </c>
    </row>
    <row r="464" spans="1:17" x14ac:dyDescent="0.2">
      <c r="B464" t="s">
        <v>244</v>
      </c>
      <c r="C464">
        <v>175</v>
      </c>
      <c r="D464">
        <v>144</v>
      </c>
      <c r="E464">
        <v>144</v>
      </c>
      <c r="F464">
        <v>144</v>
      </c>
      <c r="G464">
        <v>153</v>
      </c>
      <c r="H464">
        <v>153</v>
      </c>
      <c r="I464">
        <v>153</v>
      </c>
      <c r="J464">
        <v>153</v>
      </c>
      <c r="K464">
        <v>153</v>
      </c>
      <c r="L464">
        <v>162</v>
      </c>
      <c r="M464">
        <v>167</v>
      </c>
      <c r="N464">
        <v>172</v>
      </c>
      <c r="O464" s="173">
        <f t="shared" si="99"/>
        <v>156.08333333333334</v>
      </c>
      <c r="P464" s="173">
        <f t="shared" si="100"/>
        <v>6</v>
      </c>
      <c r="Q464" s="177">
        <f t="shared" si="101"/>
        <v>3.9977790116601887E-2</v>
      </c>
    </row>
    <row r="465" spans="1:17" x14ac:dyDescent="0.2">
      <c r="B465" t="s">
        <v>243</v>
      </c>
      <c r="C465">
        <v>189</v>
      </c>
      <c r="D465">
        <v>147</v>
      </c>
      <c r="E465">
        <v>150</v>
      </c>
      <c r="F465">
        <v>149</v>
      </c>
      <c r="G465">
        <v>143</v>
      </c>
      <c r="H465">
        <v>144</v>
      </c>
      <c r="I465">
        <v>145</v>
      </c>
      <c r="J465">
        <v>150</v>
      </c>
      <c r="K465">
        <v>156</v>
      </c>
      <c r="L465">
        <v>156</v>
      </c>
      <c r="M465">
        <v>137</v>
      </c>
      <c r="N465">
        <v>137</v>
      </c>
      <c r="O465" s="173">
        <f t="shared" si="99"/>
        <v>150.25</v>
      </c>
      <c r="P465" s="173">
        <f t="shared" si="100"/>
        <v>-5.8333333333333428</v>
      </c>
      <c r="Q465" s="177">
        <f t="shared" si="101"/>
        <v>-3.7373198077949872E-2</v>
      </c>
    </row>
    <row r="466" spans="1:17" x14ac:dyDescent="0.2">
      <c r="B466" t="s">
        <v>264</v>
      </c>
      <c r="C466">
        <v>121</v>
      </c>
      <c r="D466">
        <v>120</v>
      </c>
      <c r="E466">
        <v>127</v>
      </c>
      <c r="F466">
        <v>130</v>
      </c>
      <c r="G466">
        <v>134</v>
      </c>
      <c r="H466">
        <v>143</v>
      </c>
      <c r="I466">
        <v>142</v>
      </c>
      <c r="J466">
        <v>138</v>
      </c>
      <c r="K466">
        <v>139</v>
      </c>
      <c r="L466">
        <v>146</v>
      </c>
      <c r="M466">
        <v>148</v>
      </c>
      <c r="N466">
        <v>147</v>
      </c>
      <c r="O466" s="173">
        <f t="shared" si="99"/>
        <v>136.25</v>
      </c>
      <c r="P466" s="173">
        <f t="shared" si="100"/>
        <v>-14</v>
      </c>
      <c r="Q466" s="177">
        <f t="shared" si="101"/>
        <v>-9.3178036605657238E-2</v>
      </c>
    </row>
    <row r="467" spans="1:17" x14ac:dyDescent="0.2">
      <c r="B467" t="s">
        <v>274</v>
      </c>
      <c r="C467">
        <v>146</v>
      </c>
      <c r="D467">
        <v>146</v>
      </c>
      <c r="E467">
        <v>146</v>
      </c>
      <c r="F467">
        <v>152</v>
      </c>
      <c r="G467">
        <v>150</v>
      </c>
      <c r="H467">
        <v>141</v>
      </c>
      <c r="I467">
        <v>136</v>
      </c>
      <c r="J467">
        <v>139</v>
      </c>
      <c r="K467">
        <v>141</v>
      </c>
      <c r="L467">
        <v>149</v>
      </c>
      <c r="M467">
        <v>155</v>
      </c>
      <c r="N467">
        <v>142</v>
      </c>
      <c r="O467" s="173">
        <f t="shared" si="99"/>
        <v>145.25</v>
      </c>
      <c r="P467" s="173">
        <f t="shared" si="100"/>
        <v>9</v>
      </c>
      <c r="Q467" s="177">
        <f t="shared" si="101"/>
        <v>6.6055045871559637E-2</v>
      </c>
    </row>
    <row r="468" spans="1:17" x14ac:dyDescent="0.2">
      <c r="B468" t="s">
        <v>277</v>
      </c>
      <c r="C468">
        <v>148</v>
      </c>
      <c r="D468">
        <v>149</v>
      </c>
      <c r="E468">
        <v>149</v>
      </c>
      <c r="F468">
        <v>151</v>
      </c>
      <c r="G468">
        <v>139</v>
      </c>
      <c r="H468">
        <v>141</v>
      </c>
      <c r="I468">
        <v>136</v>
      </c>
      <c r="J468">
        <v>148</v>
      </c>
      <c r="K468">
        <v>146</v>
      </c>
      <c r="L468">
        <v>210</v>
      </c>
      <c r="M468">
        <v>211</v>
      </c>
      <c r="N468">
        <v>152</v>
      </c>
      <c r="O468" s="173">
        <f t="shared" si="99"/>
        <v>156.66666666666666</v>
      </c>
      <c r="P468" s="173">
        <f t="shared" si="100"/>
        <v>11.416666666666657</v>
      </c>
      <c r="Q468" s="177">
        <f t="shared" si="101"/>
        <v>7.8600114744692987E-2</v>
      </c>
    </row>
    <row r="469" spans="1:17" x14ac:dyDescent="0.2">
      <c r="B469" t="s">
        <v>278</v>
      </c>
      <c r="C469">
        <v>146</v>
      </c>
      <c r="D469">
        <v>150</v>
      </c>
      <c r="E469">
        <v>146</v>
      </c>
      <c r="F469">
        <v>146</v>
      </c>
      <c r="G469">
        <v>114</v>
      </c>
      <c r="H469">
        <v>99</v>
      </c>
      <c r="I469">
        <v>169</v>
      </c>
      <c r="J469">
        <v>145</v>
      </c>
      <c r="K469">
        <v>145</v>
      </c>
      <c r="L469">
        <v>145</v>
      </c>
      <c r="M469">
        <v>139</v>
      </c>
      <c r="N469">
        <v>138</v>
      </c>
      <c r="O469" s="173">
        <f t="shared" si="99"/>
        <v>140.16666666666666</v>
      </c>
      <c r="P469" s="173">
        <f t="shared" si="100"/>
        <v>-16.5</v>
      </c>
      <c r="Q469" s="177">
        <f t="shared" si="101"/>
        <v>-0.10531914893617023</v>
      </c>
    </row>
    <row r="470" spans="1:17" x14ac:dyDescent="0.2">
      <c r="B470" t="s">
        <v>279</v>
      </c>
      <c r="C470">
        <v>133</v>
      </c>
      <c r="D470">
        <v>135</v>
      </c>
      <c r="E470">
        <v>136</v>
      </c>
      <c r="F470">
        <v>143</v>
      </c>
      <c r="G470">
        <v>140</v>
      </c>
      <c r="H470">
        <v>144</v>
      </c>
      <c r="I470">
        <v>145</v>
      </c>
      <c r="J470">
        <v>144</v>
      </c>
      <c r="K470">
        <v>166</v>
      </c>
      <c r="L470">
        <v>162</v>
      </c>
      <c r="M470">
        <v>166</v>
      </c>
      <c r="N470">
        <v>161</v>
      </c>
      <c r="O470" s="173">
        <f t="shared" si="99"/>
        <v>147.91666666666666</v>
      </c>
      <c r="P470" s="173">
        <f t="shared" si="100"/>
        <v>7.75</v>
      </c>
      <c r="Q470" s="177">
        <f t="shared" si="101"/>
        <v>5.5291319857312726E-2</v>
      </c>
    </row>
    <row r="471" spans="1:17" x14ac:dyDescent="0.2">
      <c r="B471" t="s">
        <v>317</v>
      </c>
      <c r="C471">
        <v>159</v>
      </c>
      <c r="D471">
        <v>157</v>
      </c>
      <c r="E471">
        <v>154</v>
      </c>
      <c r="F471">
        <v>156</v>
      </c>
      <c r="G471">
        <v>155</v>
      </c>
      <c r="H471">
        <v>151</v>
      </c>
      <c r="I471">
        <v>152</v>
      </c>
      <c r="J471">
        <v>148</v>
      </c>
      <c r="K471">
        <v>152</v>
      </c>
      <c r="L471">
        <v>155</v>
      </c>
      <c r="M471">
        <v>161</v>
      </c>
      <c r="N471">
        <v>156</v>
      </c>
      <c r="O471" s="173">
        <f t="shared" si="99"/>
        <v>154.66666666666666</v>
      </c>
      <c r="P471" s="173">
        <f t="shared" si="100"/>
        <v>6.75</v>
      </c>
      <c r="Q471" s="177">
        <f t="shared" si="101"/>
        <v>4.5633802816901409E-2</v>
      </c>
    </row>
    <row r="472" spans="1:17" x14ac:dyDescent="0.2">
      <c r="B472" t="s">
        <v>338</v>
      </c>
      <c r="C472">
        <v>150</v>
      </c>
      <c r="D472">
        <v>158</v>
      </c>
      <c r="E472">
        <v>160</v>
      </c>
      <c r="F472">
        <v>142</v>
      </c>
      <c r="G472">
        <v>141</v>
      </c>
      <c r="H472">
        <v>138</v>
      </c>
      <c r="I472">
        <v>139</v>
      </c>
      <c r="J472">
        <v>136</v>
      </c>
      <c r="K472">
        <v>134</v>
      </c>
      <c r="L472">
        <v>142</v>
      </c>
      <c r="M472">
        <v>143</v>
      </c>
      <c r="N472">
        <v>135</v>
      </c>
      <c r="O472" s="173">
        <f t="shared" si="99"/>
        <v>143.16666666666666</v>
      </c>
      <c r="P472" s="173">
        <f t="shared" si="100"/>
        <v>-11.5</v>
      </c>
      <c r="Q472" s="177">
        <f t="shared" si="101"/>
        <v>-7.4353448275862072E-2</v>
      </c>
    </row>
    <row r="473" spans="1:17" x14ac:dyDescent="0.2">
      <c r="B473" t="s">
        <v>411</v>
      </c>
      <c r="C473">
        <v>137</v>
      </c>
      <c r="D473">
        <v>145</v>
      </c>
      <c r="E473">
        <v>146</v>
      </c>
      <c r="F473">
        <v>150</v>
      </c>
      <c r="G473">
        <v>146</v>
      </c>
      <c r="H473">
        <v>138</v>
      </c>
      <c r="I473">
        <v>137</v>
      </c>
      <c r="J473">
        <v>135</v>
      </c>
      <c r="K473">
        <v>138</v>
      </c>
      <c r="L473">
        <v>141</v>
      </c>
      <c r="M473">
        <v>147</v>
      </c>
      <c r="N473">
        <v>140</v>
      </c>
      <c r="O473" s="173">
        <f t="shared" si="99"/>
        <v>141.66666666666666</v>
      </c>
      <c r="P473" s="173">
        <f t="shared" si="100"/>
        <v>-1.5</v>
      </c>
      <c r="Q473" s="177">
        <f t="shared" si="101"/>
        <v>-1.0477299185098952E-2</v>
      </c>
    </row>
    <row r="474" spans="1:17" x14ac:dyDescent="0.2">
      <c r="B474" t="s">
        <v>445</v>
      </c>
      <c r="C474">
        <v>140</v>
      </c>
      <c r="D474">
        <v>137</v>
      </c>
      <c r="E474">
        <v>119</v>
      </c>
      <c r="F474">
        <v>113</v>
      </c>
      <c r="G474">
        <v>111</v>
      </c>
      <c r="H474">
        <v>112</v>
      </c>
      <c r="I474">
        <v>117</v>
      </c>
      <c r="J474">
        <v>109</v>
      </c>
      <c r="K474">
        <v>106</v>
      </c>
      <c r="L474">
        <v>117</v>
      </c>
      <c r="M474">
        <v>122</v>
      </c>
      <c r="N474">
        <v>124</v>
      </c>
      <c r="O474" s="173">
        <f t="shared" si="99"/>
        <v>118.91666666666667</v>
      </c>
      <c r="P474" s="173">
        <f t="shared" si="100"/>
        <v>-22.749999999999986</v>
      </c>
      <c r="Q474" s="177">
        <f t="shared" si="101"/>
        <v>-0.16058823529411756</v>
      </c>
    </row>
    <row r="475" spans="1:17" x14ac:dyDescent="0.2">
      <c r="B475" t="s">
        <v>510</v>
      </c>
      <c r="C475">
        <v>138</v>
      </c>
      <c r="D475">
        <v>145</v>
      </c>
      <c r="E475">
        <v>142</v>
      </c>
      <c r="F475">
        <v>146</v>
      </c>
      <c r="G475">
        <v>148</v>
      </c>
      <c r="H475">
        <v>149</v>
      </c>
      <c r="I475">
        <v>150</v>
      </c>
      <c r="J475">
        <v>147</v>
      </c>
      <c r="K475">
        <v>152</v>
      </c>
      <c r="L475">
        <v>159</v>
      </c>
      <c r="M475">
        <v>160</v>
      </c>
      <c r="N475">
        <v>157</v>
      </c>
      <c r="O475" s="173">
        <f t="shared" si="99"/>
        <v>149.41666666666666</v>
      </c>
      <c r="P475" s="173">
        <f t="shared" si="100"/>
        <v>30.499999999999986</v>
      </c>
      <c r="Q475" s="177">
        <f t="shared" si="101"/>
        <v>0.25648213034337758</v>
      </c>
    </row>
    <row r="476" spans="1:17" x14ac:dyDescent="0.2">
      <c r="B476" t="s">
        <v>546</v>
      </c>
      <c r="C476">
        <v>156</v>
      </c>
      <c r="D476">
        <v>161</v>
      </c>
      <c r="E476">
        <v>163</v>
      </c>
      <c r="F476">
        <v>164</v>
      </c>
      <c r="G476">
        <v>162</v>
      </c>
      <c r="H476">
        <v>158</v>
      </c>
      <c r="I476">
        <v>166</v>
      </c>
      <c r="J476">
        <v>166</v>
      </c>
      <c r="K476">
        <v>170</v>
      </c>
      <c r="L476">
        <v>164</v>
      </c>
      <c r="M476">
        <v>162</v>
      </c>
      <c r="N476">
        <v>160</v>
      </c>
      <c r="O476" s="173">
        <f t="shared" si="99"/>
        <v>162.66666666666666</v>
      </c>
      <c r="P476" s="173">
        <f>SUM(O476-O475)</f>
        <v>13.25</v>
      </c>
      <c r="Q476" s="177">
        <f>SUM(P476/O475)</f>
        <v>8.8678192972671502E-2</v>
      </c>
    </row>
    <row r="477" spans="1:17" x14ac:dyDescent="0.2">
      <c r="B477" t="s">
        <v>547</v>
      </c>
      <c r="C477">
        <v>156</v>
      </c>
      <c r="D477">
        <v>155</v>
      </c>
      <c r="E477">
        <v>149</v>
      </c>
      <c r="F477">
        <v>146</v>
      </c>
      <c r="G477">
        <v>149</v>
      </c>
      <c r="H477">
        <v>151</v>
      </c>
      <c r="I477">
        <v>151</v>
      </c>
      <c r="J477">
        <v>148</v>
      </c>
      <c r="K477">
        <v>155</v>
      </c>
      <c r="L477">
        <v>156</v>
      </c>
      <c r="M477">
        <v>153</v>
      </c>
      <c r="N477">
        <v>154</v>
      </c>
      <c r="O477" s="173">
        <f t="shared" si="99"/>
        <v>151.91666666666666</v>
      </c>
      <c r="P477" s="173">
        <f>SUM(O477-O476)</f>
        <v>-10.75</v>
      </c>
      <c r="Q477" s="177">
        <f>SUM(P477/O476)</f>
        <v>-6.6086065573770489E-2</v>
      </c>
    </row>
    <row r="478" spans="1:17" x14ac:dyDescent="0.2">
      <c r="B478" t="s">
        <v>817</v>
      </c>
      <c r="C478">
        <v>156</v>
      </c>
      <c r="D478">
        <v>159</v>
      </c>
      <c r="E478">
        <v>157</v>
      </c>
      <c r="F478">
        <v>158</v>
      </c>
      <c r="G478">
        <v>143</v>
      </c>
      <c r="H478">
        <v>148</v>
      </c>
      <c r="I478">
        <v>155</v>
      </c>
      <c r="J478">
        <v>149</v>
      </c>
      <c r="K478">
        <v>151</v>
      </c>
      <c r="L478">
        <v>145</v>
      </c>
      <c r="M478">
        <v>133</v>
      </c>
      <c r="N478">
        <v>128</v>
      </c>
      <c r="O478" s="173">
        <f t="shared" si="99"/>
        <v>148.5</v>
      </c>
      <c r="P478" s="173">
        <f>SUM(O478-O477)</f>
        <v>-3.4166666666666572</v>
      </c>
      <c r="Q478" s="177">
        <f>SUM(P478/O477)</f>
        <v>-2.2490400438837019E-2</v>
      </c>
    </row>
    <row r="479" spans="1:17" x14ac:dyDescent="0.2">
      <c r="B479" t="s">
        <v>818</v>
      </c>
      <c r="C479">
        <v>119</v>
      </c>
      <c r="D479">
        <v>118</v>
      </c>
      <c r="O479" s="173"/>
      <c r="P479" s="173"/>
      <c r="Q479" s="177"/>
    </row>
    <row r="480" spans="1:17" x14ac:dyDescent="0.2">
      <c r="A480" s="520"/>
      <c r="B480" s="520"/>
      <c r="C480" s="520"/>
      <c r="D480" s="520"/>
      <c r="E480" s="520"/>
      <c r="F480" s="520"/>
      <c r="G480" s="520"/>
      <c r="H480" s="520"/>
      <c r="I480" s="520"/>
      <c r="J480" s="520"/>
      <c r="K480" s="520"/>
      <c r="L480" s="520"/>
      <c r="M480" s="520"/>
      <c r="N480" s="520"/>
      <c r="O480" s="520"/>
      <c r="P480" s="520"/>
      <c r="Q480" s="520"/>
    </row>
    <row r="481" spans="1:17" ht="25.5" x14ac:dyDescent="0.2">
      <c r="A481" s="175" t="s">
        <v>420</v>
      </c>
      <c r="B481" s="176" t="s">
        <v>392</v>
      </c>
      <c r="C481" s="178" t="s">
        <v>393</v>
      </c>
      <c r="D481" s="178" t="s">
        <v>394</v>
      </c>
      <c r="E481" s="178" t="s">
        <v>395</v>
      </c>
      <c r="F481" s="178" t="s">
        <v>396</v>
      </c>
      <c r="G481" s="178" t="s">
        <v>397</v>
      </c>
      <c r="H481" s="178" t="s">
        <v>398</v>
      </c>
      <c r="I481" s="178" t="s">
        <v>399</v>
      </c>
      <c r="J481" s="178" t="s">
        <v>400</v>
      </c>
      <c r="K481" s="178" t="s">
        <v>401</v>
      </c>
      <c r="L481" s="178" t="s">
        <v>402</v>
      </c>
      <c r="M481" s="178" t="s">
        <v>403</v>
      </c>
      <c r="N481" s="178" t="s">
        <v>404</v>
      </c>
    </row>
    <row r="482" spans="1:17" x14ac:dyDescent="0.2">
      <c r="B482" t="s">
        <v>408</v>
      </c>
      <c r="C482">
        <v>88</v>
      </c>
      <c r="D482">
        <v>88</v>
      </c>
      <c r="E482">
        <v>91</v>
      </c>
      <c r="F482">
        <v>89</v>
      </c>
      <c r="G482">
        <v>92</v>
      </c>
      <c r="H482">
        <v>87</v>
      </c>
      <c r="I482">
        <v>92</v>
      </c>
      <c r="J482">
        <v>98</v>
      </c>
      <c r="K482">
        <v>100</v>
      </c>
      <c r="L482">
        <v>101</v>
      </c>
      <c r="M482">
        <v>101</v>
      </c>
      <c r="N482">
        <v>103</v>
      </c>
      <c r="O482" s="173">
        <f t="shared" ref="O482:O490" si="102">SUM(C482:N482)/12</f>
        <v>94.166666666666671</v>
      </c>
      <c r="P482" s="173"/>
    </row>
    <row r="483" spans="1:17" x14ac:dyDescent="0.2">
      <c r="B483" t="s">
        <v>409</v>
      </c>
      <c r="C483">
        <v>99</v>
      </c>
      <c r="D483">
        <v>99</v>
      </c>
      <c r="E483">
        <v>93</v>
      </c>
      <c r="F483">
        <v>96</v>
      </c>
      <c r="G483">
        <v>87</v>
      </c>
      <c r="H483">
        <v>98</v>
      </c>
      <c r="I483">
        <v>92</v>
      </c>
      <c r="J483">
        <v>97</v>
      </c>
      <c r="K483">
        <v>96</v>
      </c>
      <c r="L483">
        <v>96</v>
      </c>
      <c r="M483">
        <v>99</v>
      </c>
      <c r="N483">
        <v>104</v>
      </c>
      <c r="O483" s="173">
        <f t="shared" si="102"/>
        <v>96.333333333333329</v>
      </c>
      <c r="P483" s="173">
        <f t="shared" ref="P483:P496" si="103">SUM(O483-O482)</f>
        <v>2.1666666666666572</v>
      </c>
      <c r="Q483" s="177">
        <f t="shared" ref="Q483:Q496" si="104">SUM(P483/O482)</f>
        <v>2.3008849557522023E-2</v>
      </c>
    </row>
    <row r="484" spans="1:17" x14ac:dyDescent="0.2">
      <c r="B484" t="s">
        <v>410</v>
      </c>
      <c r="C484">
        <v>103</v>
      </c>
      <c r="D484">
        <v>108</v>
      </c>
      <c r="E484">
        <v>99</v>
      </c>
      <c r="F484">
        <v>108</v>
      </c>
      <c r="G484">
        <v>104</v>
      </c>
      <c r="H484">
        <v>89</v>
      </c>
      <c r="I484">
        <v>81</v>
      </c>
      <c r="J484">
        <v>73</v>
      </c>
      <c r="K484">
        <v>71</v>
      </c>
      <c r="L484">
        <v>75</v>
      </c>
      <c r="M484">
        <v>110</v>
      </c>
      <c r="N484">
        <v>120</v>
      </c>
      <c r="O484" s="173">
        <f t="shared" si="102"/>
        <v>95.083333333333329</v>
      </c>
      <c r="P484" s="173">
        <f t="shared" si="103"/>
        <v>-1.25</v>
      </c>
      <c r="Q484" s="177">
        <f t="shared" si="104"/>
        <v>-1.2975778546712804E-2</v>
      </c>
    </row>
    <row r="485" spans="1:17" x14ac:dyDescent="0.2">
      <c r="B485" t="s">
        <v>244</v>
      </c>
      <c r="C485">
        <v>75</v>
      </c>
      <c r="D485">
        <v>134</v>
      </c>
      <c r="E485">
        <v>85</v>
      </c>
      <c r="F485">
        <v>85</v>
      </c>
      <c r="G485">
        <v>86</v>
      </c>
      <c r="H485">
        <v>89</v>
      </c>
      <c r="I485">
        <v>85</v>
      </c>
      <c r="J485">
        <v>85</v>
      </c>
      <c r="K485">
        <v>85</v>
      </c>
      <c r="L485">
        <v>85</v>
      </c>
      <c r="M485">
        <v>85</v>
      </c>
      <c r="N485">
        <v>85</v>
      </c>
      <c r="O485" s="173">
        <f t="shared" si="102"/>
        <v>88.666666666666671</v>
      </c>
      <c r="P485" s="173">
        <f t="shared" si="103"/>
        <v>-6.4166666666666572</v>
      </c>
      <c r="Q485" s="177">
        <f t="shared" si="104"/>
        <v>-6.7484662576687018E-2</v>
      </c>
    </row>
    <row r="486" spans="1:17" x14ac:dyDescent="0.2">
      <c r="B486" t="s">
        <v>243</v>
      </c>
      <c r="C486">
        <v>107</v>
      </c>
      <c r="D486">
        <v>90</v>
      </c>
      <c r="E486">
        <v>90</v>
      </c>
      <c r="F486">
        <v>91</v>
      </c>
      <c r="G486">
        <v>89</v>
      </c>
      <c r="H486">
        <v>89</v>
      </c>
      <c r="I486">
        <v>87</v>
      </c>
      <c r="J486">
        <v>83</v>
      </c>
      <c r="K486">
        <v>79</v>
      </c>
      <c r="L486">
        <v>83</v>
      </c>
      <c r="M486">
        <v>84</v>
      </c>
      <c r="N486">
        <v>86</v>
      </c>
      <c r="O486" s="173">
        <f t="shared" si="102"/>
        <v>88.166666666666671</v>
      </c>
      <c r="P486" s="173">
        <f t="shared" si="103"/>
        <v>-0.5</v>
      </c>
      <c r="Q486" s="177">
        <f t="shared" si="104"/>
        <v>-5.6390977443609019E-3</v>
      </c>
    </row>
    <row r="487" spans="1:17" x14ac:dyDescent="0.2">
      <c r="B487" t="s">
        <v>264</v>
      </c>
      <c r="C487">
        <v>94</v>
      </c>
      <c r="D487">
        <v>94</v>
      </c>
      <c r="E487">
        <v>95</v>
      </c>
      <c r="F487">
        <v>92</v>
      </c>
      <c r="G487">
        <v>92</v>
      </c>
      <c r="H487">
        <v>91</v>
      </c>
      <c r="I487">
        <v>93</v>
      </c>
      <c r="J487">
        <v>90</v>
      </c>
      <c r="K487">
        <v>87</v>
      </c>
      <c r="L487">
        <v>86</v>
      </c>
      <c r="M487">
        <v>86</v>
      </c>
      <c r="N487">
        <v>85</v>
      </c>
      <c r="O487" s="173">
        <f t="shared" si="102"/>
        <v>90.416666666666671</v>
      </c>
      <c r="P487" s="173">
        <f t="shared" si="103"/>
        <v>2.25</v>
      </c>
      <c r="Q487" s="177">
        <f t="shared" si="104"/>
        <v>2.5519848771266538E-2</v>
      </c>
    </row>
    <row r="488" spans="1:17" x14ac:dyDescent="0.2">
      <c r="B488" t="s">
        <v>274</v>
      </c>
      <c r="C488">
        <v>88</v>
      </c>
      <c r="D488">
        <v>90</v>
      </c>
      <c r="E488">
        <v>90</v>
      </c>
      <c r="F488">
        <v>93</v>
      </c>
      <c r="G488">
        <v>90</v>
      </c>
      <c r="H488">
        <v>89</v>
      </c>
      <c r="I488">
        <v>112</v>
      </c>
      <c r="J488">
        <v>108</v>
      </c>
      <c r="K488">
        <v>112</v>
      </c>
      <c r="L488">
        <v>113</v>
      </c>
      <c r="M488">
        <v>109</v>
      </c>
      <c r="N488">
        <v>108</v>
      </c>
      <c r="O488" s="173">
        <f t="shared" si="102"/>
        <v>100.16666666666667</v>
      </c>
      <c r="P488" s="173">
        <f t="shared" si="103"/>
        <v>9.75</v>
      </c>
      <c r="Q488" s="177">
        <f t="shared" si="104"/>
        <v>0.10783410138248847</v>
      </c>
    </row>
    <row r="489" spans="1:17" x14ac:dyDescent="0.2">
      <c r="B489" t="s">
        <v>277</v>
      </c>
      <c r="C489">
        <v>107</v>
      </c>
      <c r="D489">
        <v>106</v>
      </c>
      <c r="E489">
        <v>105</v>
      </c>
      <c r="F489">
        <v>96</v>
      </c>
      <c r="G489">
        <v>99</v>
      </c>
      <c r="H489">
        <v>101</v>
      </c>
      <c r="I489">
        <v>103</v>
      </c>
      <c r="J489">
        <v>103</v>
      </c>
      <c r="K489">
        <v>100</v>
      </c>
      <c r="L489">
        <v>113</v>
      </c>
      <c r="M489">
        <v>118</v>
      </c>
      <c r="N489">
        <v>104</v>
      </c>
      <c r="O489" s="173">
        <f t="shared" si="102"/>
        <v>104.58333333333333</v>
      </c>
      <c r="P489" s="173">
        <f t="shared" si="103"/>
        <v>4.4166666666666572</v>
      </c>
      <c r="Q489" s="177">
        <f t="shared" si="104"/>
        <v>4.4093178036605563E-2</v>
      </c>
    </row>
    <row r="490" spans="1:17" x14ac:dyDescent="0.2">
      <c r="B490" t="s">
        <v>278</v>
      </c>
      <c r="C490">
        <v>106</v>
      </c>
      <c r="D490">
        <v>102</v>
      </c>
      <c r="E490">
        <v>105</v>
      </c>
      <c r="F490">
        <v>103</v>
      </c>
      <c r="G490">
        <v>103</v>
      </c>
      <c r="H490">
        <v>103</v>
      </c>
      <c r="I490">
        <v>99</v>
      </c>
      <c r="J490">
        <v>98</v>
      </c>
      <c r="K490">
        <v>100</v>
      </c>
      <c r="L490">
        <v>101</v>
      </c>
      <c r="M490">
        <v>100</v>
      </c>
      <c r="N490">
        <v>103</v>
      </c>
      <c r="O490" s="173">
        <f t="shared" si="102"/>
        <v>101.91666666666667</v>
      </c>
      <c r="P490" s="173">
        <f t="shared" si="103"/>
        <v>-2.6666666666666572</v>
      </c>
      <c r="Q490" s="177">
        <f t="shared" si="104"/>
        <v>-2.5498007968127401E-2</v>
      </c>
    </row>
    <row r="491" spans="1:17" x14ac:dyDescent="0.2">
      <c r="B491" t="s">
        <v>279</v>
      </c>
      <c r="C491">
        <v>96</v>
      </c>
      <c r="D491">
        <v>95</v>
      </c>
      <c r="E491">
        <v>92</v>
      </c>
      <c r="F491">
        <v>93</v>
      </c>
      <c r="G491">
        <v>90</v>
      </c>
      <c r="H491">
        <v>90</v>
      </c>
      <c r="I491">
        <v>90</v>
      </c>
      <c r="J491">
        <v>90</v>
      </c>
      <c r="K491">
        <v>91</v>
      </c>
      <c r="L491">
        <v>90</v>
      </c>
      <c r="M491">
        <v>75</v>
      </c>
      <c r="N491">
        <v>74</v>
      </c>
      <c r="O491" s="173">
        <f>SUM(C491:N491)/12</f>
        <v>88.833333333333329</v>
      </c>
      <c r="P491" s="173">
        <f t="shared" si="103"/>
        <v>-13.083333333333343</v>
      </c>
      <c r="Q491" s="177">
        <f t="shared" si="104"/>
        <v>-0.12837285363859371</v>
      </c>
    </row>
    <row r="492" spans="1:17" x14ac:dyDescent="0.2">
      <c r="B492" t="s">
        <v>317</v>
      </c>
      <c r="C492">
        <v>73</v>
      </c>
      <c r="D492">
        <v>73</v>
      </c>
      <c r="E492">
        <v>68</v>
      </c>
      <c r="F492">
        <v>69</v>
      </c>
      <c r="G492">
        <v>70</v>
      </c>
      <c r="H492">
        <v>77</v>
      </c>
      <c r="I492">
        <v>71</v>
      </c>
      <c r="J492">
        <v>74</v>
      </c>
      <c r="K492">
        <v>74</v>
      </c>
      <c r="L492">
        <v>72</v>
      </c>
      <c r="N492">
        <v>93</v>
      </c>
      <c r="O492" s="173">
        <f>SUM(C492:N492)/11</f>
        <v>74</v>
      </c>
      <c r="P492" s="173">
        <f t="shared" si="103"/>
        <v>-14.833333333333329</v>
      </c>
      <c r="Q492" s="177">
        <f t="shared" si="104"/>
        <v>-0.16697936210131328</v>
      </c>
    </row>
    <row r="493" spans="1:17" x14ac:dyDescent="0.2">
      <c r="B493" t="s">
        <v>338</v>
      </c>
      <c r="C493">
        <v>95</v>
      </c>
      <c r="D493">
        <v>93</v>
      </c>
      <c r="E493">
        <v>89</v>
      </c>
      <c r="F493">
        <v>84</v>
      </c>
      <c r="G493">
        <v>84</v>
      </c>
      <c r="H493">
        <v>86</v>
      </c>
      <c r="I493">
        <v>87</v>
      </c>
      <c r="J493">
        <v>84</v>
      </c>
      <c r="K493">
        <v>86</v>
      </c>
      <c r="L493">
        <v>89</v>
      </c>
      <c r="M493">
        <v>91</v>
      </c>
      <c r="N493">
        <v>96</v>
      </c>
      <c r="O493" s="173">
        <f t="shared" ref="O493:O499" si="105">SUM(C493:N493)/12</f>
        <v>88.666666666666671</v>
      </c>
      <c r="P493" s="173">
        <f t="shared" si="103"/>
        <v>14.666666666666671</v>
      </c>
      <c r="Q493" s="177">
        <f t="shared" si="104"/>
        <v>0.19819819819819826</v>
      </c>
    </row>
    <row r="494" spans="1:17" x14ac:dyDescent="0.2">
      <c r="B494" t="s">
        <v>411</v>
      </c>
      <c r="C494">
        <v>100</v>
      </c>
      <c r="D494">
        <v>99</v>
      </c>
      <c r="E494">
        <v>98</v>
      </c>
      <c r="F494">
        <v>99</v>
      </c>
      <c r="G494">
        <v>98</v>
      </c>
      <c r="H494">
        <v>99</v>
      </c>
      <c r="I494">
        <v>101</v>
      </c>
      <c r="J494">
        <v>102</v>
      </c>
      <c r="K494">
        <v>101</v>
      </c>
      <c r="L494">
        <v>102</v>
      </c>
      <c r="M494">
        <v>103</v>
      </c>
      <c r="N494">
        <v>107</v>
      </c>
      <c r="O494" s="173">
        <f t="shared" si="105"/>
        <v>100.75</v>
      </c>
      <c r="P494" s="173">
        <f t="shared" si="103"/>
        <v>12.083333333333329</v>
      </c>
      <c r="Q494" s="177">
        <f t="shared" si="104"/>
        <v>0.13627819548872175</v>
      </c>
    </row>
    <row r="495" spans="1:17" x14ac:dyDescent="0.2">
      <c r="B495" t="s">
        <v>445</v>
      </c>
      <c r="C495">
        <v>108</v>
      </c>
      <c r="D495">
        <v>108</v>
      </c>
      <c r="E495">
        <v>109</v>
      </c>
      <c r="F495">
        <v>106</v>
      </c>
      <c r="G495">
        <v>102</v>
      </c>
      <c r="H495">
        <v>100</v>
      </c>
      <c r="I495">
        <v>97</v>
      </c>
      <c r="J495">
        <v>94</v>
      </c>
      <c r="K495">
        <v>98</v>
      </c>
      <c r="L495">
        <v>100</v>
      </c>
      <c r="M495">
        <v>105</v>
      </c>
      <c r="N495">
        <v>101</v>
      </c>
      <c r="O495" s="173">
        <f t="shared" si="105"/>
        <v>102.33333333333333</v>
      </c>
      <c r="P495" s="173">
        <f t="shared" si="103"/>
        <v>1.5833333333333286</v>
      </c>
      <c r="Q495" s="177">
        <f t="shared" si="104"/>
        <v>1.5715467328370508E-2</v>
      </c>
    </row>
    <row r="496" spans="1:17" x14ac:dyDescent="0.2">
      <c r="B496" t="s">
        <v>510</v>
      </c>
      <c r="C496">
        <v>100</v>
      </c>
      <c r="D496">
        <v>100</v>
      </c>
      <c r="E496">
        <v>101</v>
      </c>
      <c r="F496">
        <v>94</v>
      </c>
      <c r="G496">
        <v>95</v>
      </c>
      <c r="H496">
        <v>102</v>
      </c>
      <c r="I496">
        <v>97</v>
      </c>
      <c r="J496">
        <v>96</v>
      </c>
      <c r="K496">
        <v>95</v>
      </c>
      <c r="L496">
        <v>97</v>
      </c>
      <c r="M496">
        <v>98</v>
      </c>
      <c r="N496">
        <v>97</v>
      </c>
      <c r="O496" s="173">
        <f t="shared" si="105"/>
        <v>97.666666666666671</v>
      </c>
      <c r="P496" s="173">
        <f t="shared" si="103"/>
        <v>-4.6666666666666572</v>
      </c>
      <c r="Q496" s="177">
        <f t="shared" si="104"/>
        <v>-4.5602605863192092E-2</v>
      </c>
    </row>
    <row r="497" spans="1:17" x14ac:dyDescent="0.2">
      <c r="B497" t="s">
        <v>546</v>
      </c>
      <c r="C497">
        <v>92</v>
      </c>
      <c r="D497">
        <v>97</v>
      </c>
      <c r="E497">
        <v>96</v>
      </c>
      <c r="F497">
        <v>95</v>
      </c>
      <c r="G497">
        <v>94</v>
      </c>
      <c r="H497">
        <v>93</v>
      </c>
      <c r="I497">
        <v>92</v>
      </c>
      <c r="J497">
        <v>94</v>
      </c>
      <c r="K497">
        <v>96</v>
      </c>
      <c r="L497">
        <v>90</v>
      </c>
      <c r="M497">
        <v>89</v>
      </c>
      <c r="N497">
        <v>85</v>
      </c>
      <c r="O497" s="173">
        <f t="shared" si="105"/>
        <v>92.75</v>
      </c>
      <c r="P497" s="173">
        <f>SUM(O497-O496)</f>
        <v>-4.9166666666666714</v>
      </c>
      <c r="Q497" s="177">
        <f>SUM(P497/O496)</f>
        <v>-5.0341296928327693E-2</v>
      </c>
    </row>
    <row r="498" spans="1:17" x14ac:dyDescent="0.2">
      <c r="B498" t="s">
        <v>547</v>
      </c>
      <c r="C498">
        <v>84</v>
      </c>
      <c r="D498">
        <v>85</v>
      </c>
      <c r="E498">
        <v>82</v>
      </c>
      <c r="F498">
        <v>86</v>
      </c>
      <c r="G498">
        <v>87</v>
      </c>
      <c r="H498">
        <v>88</v>
      </c>
      <c r="I498">
        <v>89</v>
      </c>
      <c r="J498">
        <v>89</v>
      </c>
      <c r="K498">
        <v>90</v>
      </c>
      <c r="L498">
        <v>88</v>
      </c>
      <c r="M498">
        <v>90</v>
      </c>
      <c r="N498">
        <v>90</v>
      </c>
      <c r="O498" s="173">
        <f t="shared" si="105"/>
        <v>87.333333333333329</v>
      </c>
      <c r="P498" s="173">
        <f>SUM(O498-O497)</f>
        <v>-5.4166666666666714</v>
      </c>
      <c r="Q498" s="177">
        <f>SUM(P498/O497)</f>
        <v>-5.8400718778077322E-2</v>
      </c>
    </row>
    <row r="499" spans="1:17" x14ac:dyDescent="0.2">
      <c r="B499" t="s">
        <v>817</v>
      </c>
      <c r="C499">
        <v>92</v>
      </c>
      <c r="D499">
        <v>85</v>
      </c>
      <c r="E499">
        <v>90</v>
      </c>
      <c r="F499">
        <v>89</v>
      </c>
      <c r="G499">
        <v>88</v>
      </c>
      <c r="H499">
        <v>86</v>
      </c>
      <c r="I499">
        <v>83</v>
      </c>
      <c r="J499">
        <v>86</v>
      </c>
      <c r="K499">
        <v>82</v>
      </c>
      <c r="L499">
        <v>83</v>
      </c>
      <c r="M499">
        <v>87</v>
      </c>
      <c r="N499">
        <v>77</v>
      </c>
      <c r="O499" s="173">
        <f t="shared" si="105"/>
        <v>85.666666666666671</v>
      </c>
      <c r="P499" s="173">
        <f>SUM(O499-O498)</f>
        <v>-1.6666666666666572</v>
      </c>
      <c r="Q499" s="177">
        <f>SUM(P499/O498)</f>
        <v>-1.9083969465648748E-2</v>
      </c>
    </row>
    <row r="500" spans="1:17" x14ac:dyDescent="0.2">
      <c r="B500" t="s">
        <v>818</v>
      </c>
      <c r="C500">
        <v>75</v>
      </c>
      <c r="D500">
        <v>68</v>
      </c>
      <c r="O500" s="173"/>
      <c r="P500" s="173"/>
      <c r="Q500" s="177"/>
    </row>
    <row r="501" spans="1:17" ht="25.5" x14ac:dyDescent="0.2">
      <c r="A501" s="175" t="s">
        <v>421</v>
      </c>
      <c r="B501" s="176" t="s">
        <v>392</v>
      </c>
      <c r="C501" s="178" t="s">
        <v>393</v>
      </c>
      <c r="D501" s="178" t="s">
        <v>394</v>
      </c>
      <c r="E501" s="178" t="s">
        <v>395</v>
      </c>
      <c r="F501" s="178" t="s">
        <v>396</v>
      </c>
      <c r="G501" s="178" t="s">
        <v>397</v>
      </c>
      <c r="H501" s="178" t="s">
        <v>398</v>
      </c>
      <c r="I501" s="178" t="s">
        <v>399</v>
      </c>
      <c r="J501" s="178" t="s">
        <v>400</v>
      </c>
      <c r="K501" s="178" t="s">
        <v>401</v>
      </c>
      <c r="L501" s="178" t="s">
        <v>402</v>
      </c>
      <c r="M501" s="178" t="s">
        <v>403</v>
      </c>
      <c r="N501" s="178" t="s">
        <v>404</v>
      </c>
    </row>
    <row r="502" spans="1:17" x14ac:dyDescent="0.2">
      <c r="B502" t="s">
        <v>408</v>
      </c>
      <c r="C502">
        <v>69</v>
      </c>
      <c r="D502">
        <v>69</v>
      </c>
      <c r="E502">
        <v>69</v>
      </c>
      <c r="F502">
        <v>69</v>
      </c>
      <c r="G502">
        <v>56</v>
      </c>
      <c r="H502">
        <v>58</v>
      </c>
      <c r="I502">
        <v>57</v>
      </c>
      <c r="J502">
        <v>58</v>
      </c>
      <c r="K502">
        <v>56</v>
      </c>
      <c r="L502">
        <v>62</v>
      </c>
      <c r="M502">
        <v>57</v>
      </c>
      <c r="N502">
        <v>58</v>
      </c>
      <c r="O502" s="173">
        <f t="shared" ref="O502:O519" si="106">SUM(C502:N502)/12</f>
        <v>61.5</v>
      </c>
      <c r="P502" s="173"/>
    </row>
    <row r="503" spans="1:17" x14ac:dyDescent="0.2">
      <c r="B503" t="s">
        <v>409</v>
      </c>
      <c r="C503">
        <v>52</v>
      </c>
      <c r="D503">
        <v>56</v>
      </c>
      <c r="E503">
        <v>51</v>
      </c>
      <c r="F503">
        <v>57</v>
      </c>
      <c r="G503">
        <v>60</v>
      </c>
      <c r="H503">
        <v>58</v>
      </c>
      <c r="I503">
        <v>62</v>
      </c>
      <c r="J503">
        <v>63</v>
      </c>
      <c r="K503">
        <v>59</v>
      </c>
      <c r="L503">
        <v>59</v>
      </c>
      <c r="M503">
        <v>62</v>
      </c>
      <c r="N503">
        <v>60</v>
      </c>
      <c r="O503" s="173">
        <f t="shared" si="106"/>
        <v>58.25</v>
      </c>
      <c r="P503" s="173">
        <f t="shared" ref="P503:P516" si="107">SUM(O503-O502)</f>
        <v>-3.25</v>
      </c>
      <c r="Q503" s="177">
        <f t="shared" ref="Q503:Q516" si="108">SUM(P503/O502)</f>
        <v>-5.2845528455284556E-2</v>
      </c>
    </row>
    <row r="504" spans="1:17" x14ac:dyDescent="0.2">
      <c r="B504" t="s">
        <v>410</v>
      </c>
      <c r="C504">
        <v>60</v>
      </c>
      <c r="D504">
        <v>55</v>
      </c>
      <c r="E504">
        <v>57</v>
      </c>
      <c r="F504">
        <v>55</v>
      </c>
      <c r="G504">
        <v>55</v>
      </c>
      <c r="H504">
        <v>52</v>
      </c>
      <c r="I504">
        <v>60</v>
      </c>
      <c r="J504">
        <v>72</v>
      </c>
      <c r="K504">
        <v>77</v>
      </c>
      <c r="L504">
        <v>82</v>
      </c>
      <c r="M504">
        <v>87</v>
      </c>
      <c r="N504">
        <v>92</v>
      </c>
      <c r="O504" s="173">
        <f t="shared" si="106"/>
        <v>67</v>
      </c>
      <c r="P504" s="173">
        <f t="shared" si="107"/>
        <v>8.75</v>
      </c>
      <c r="Q504" s="177">
        <f t="shared" si="108"/>
        <v>0.15021459227467812</v>
      </c>
    </row>
    <row r="505" spans="1:17" x14ac:dyDescent="0.2">
      <c r="B505" t="s">
        <v>244</v>
      </c>
      <c r="C505">
        <v>87</v>
      </c>
      <c r="D505">
        <v>86</v>
      </c>
      <c r="E505">
        <v>88</v>
      </c>
      <c r="F505">
        <v>86</v>
      </c>
      <c r="G505">
        <v>86</v>
      </c>
      <c r="H505">
        <v>86</v>
      </c>
      <c r="I505">
        <v>86</v>
      </c>
      <c r="J505">
        <v>86</v>
      </c>
      <c r="K505">
        <v>86</v>
      </c>
      <c r="L505">
        <v>86</v>
      </c>
      <c r="M505">
        <v>86</v>
      </c>
      <c r="N505">
        <v>86</v>
      </c>
      <c r="O505" s="173">
        <f t="shared" si="106"/>
        <v>86.25</v>
      </c>
      <c r="P505" s="173">
        <f t="shared" si="107"/>
        <v>19.25</v>
      </c>
      <c r="Q505" s="177">
        <f t="shared" si="108"/>
        <v>0.28731343283582089</v>
      </c>
    </row>
    <row r="506" spans="1:17" x14ac:dyDescent="0.2">
      <c r="B506" t="s">
        <v>243</v>
      </c>
      <c r="C506">
        <v>93</v>
      </c>
      <c r="D506">
        <v>80</v>
      </c>
      <c r="E506">
        <v>78</v>
      </c>
      <c r="F506">
        <v>78</v>
      </c>
      <c r="G506">
        <v>84</v>
      </c>
      <c r="H506">
        <v>90</v>
      </c>
      <c r="I506">
        <v>88</v>
      </c>
      <c r="J506">
        <v>92</v>
      </c>
      <c r="K506">
        <v>94</v>
      </c>
      <c r="L506">
        <v>84</v>
      </c>
      <c r="M506">
        <v>84</v>
      </c>
      <c r="N506">
        <v>85</v>
      </c>
      <c r="O506" s="173">
        <f t="shared" si="106"/>
        <v>85.833333333333329</v>
      </c>
      <c r="P506" s="173">
        <f t="shared" si="107"/>
        <v>-0.4166666666666714</v>
      </c>
      <c r="Q506" s="177">
        <f t="shared" si="108"/>
        <v>-4.8309178743961905E-3</v>
      </c>
    </row>
    <row r="507" spans="1:17" x14ac:dyDescent="0.2">
      <c r="B507" t="s">
        <v>264</v>
      </c>
      <c r="C507">
        <v>80</v>
      </c>
      <c r="D507">
        <v>84</v>
      </c>
      <c r="E507">
        <v>85</v>
      </c>
      <c r="F507">
        <v>88</v>
      </c>
      <c r="G507">
        <v>90</v>
      </c>
      <c r="H507">
        <v>95</v>
      </c>
      <c r="I507">
        <v>101</v>
      </c>
      <c r="J507">
        <v>94</v>
      </c>
      <c r="K507">
        <v>90</v>
      </c>
      <c r="L507">
        <v>93</v>
      </c>
      <c r="M507">
        <v>101</v>
      </c>
      <c r="N507">
        <v>107</v>
      </c>
      <c r="O507" s="173">
        <f t="shared" si="106"/>
        <v>92.333333333333329</v>
      </c>
      <c r="P507" s="173">
        <f t="shared" si="107"/>
        <v>6.5</v>
      </c>
      <c r="Q507" s="177">
        <f t="shared" si="108"/>
        <v>7.5728155339805828E-2</v>
      </c>
    </row>
    <row r="508" spans="1:17" x14ac:dyDescent="0.2">
      <c r="B508" t="s">
        <v>274</v>
      </c>
      <c r="C508">
        <v>112</v>
      </c>
      <c r="D508">
        <v>110</v>
      </c>
      <c r="E508">
        <v>108</v>
      </c>
      <c r="F508">
        <v>113</v>
      </c>
      <c r="G508">
        <v>112</v>
      </c>
      <c r="H508">
        <v>108</v>
      </c>
      <c r="I508">
        <v>107</v>
      </c>
      <c r="J508">
        <v>123</v>
      </c>
      <c r="K508">
        <v>114</v>
      </c>
      <c r="L508">
        <v>116</v>
      </c>
      <c r="M508">
        <v>117</v>
      </c>
      <c r="N508">
        <v>121</v>
      </c>
      <c r="O508" s="173">
        <f t="shared" si="106"/>
        <v>113.41666666666667</v>
      </c>
      <c r="P508" s="173">
        <f t="shared" si="107"/>
        <v>21.083333333333343</v>
      </c>
      <c r="Q508" s="177">
        <f t="shared" si="108"/>
        <v>0.22833935018050552</v>
      </c>
    </row>
    <row r="509" spans="1:17" x14ac:dyDescent="0.2">
      <c r="B509" t="s">
        <v>277</v>
      </c>
      <c r="C509">
        <v>121</v>
      </c>
      <c r="D509">
        <v>122</v>
      </c>
      <c r="E509">
        <v>122</v>
      </c>
      <c r="F509">
        <v>126</v>
      </c>
      <c r="G509">
        <v>124</v>
      </c>
      <c r="H509">
        <v>122</v>
      </c>
      <c r="I509">
        <v>124</v>
      </c>
      <c r="J509">
        <v>122</v>
      </c>
      <c r="K509">
        <v>121</v>
      </c>
      <c r="L509">
        <v>115</v>
      </c>
      <c r="M509">
        <v>114</v>
      </c>
      <c r="N509">
        <v>121</v>
      </c>
      <c r="O509" s="173">
        <f t="shared" si="106"/>
        <v>121.16666666666667</v>
      </c>
      <c r="P509" s="173">
        <f t="shared" si="107"/>
        <v>7.75</v>
      </c>
      <c r="Q509" s="177">
        <f t="shared" si="108"/>
        <v>6.8332108743570902E-2</v>
      </c>
    </row>
    <row r="510" spans="1:17" x14ac:dyDescent="0.2">
      <c r="B510" t="s">
        <v>278</v>
      </c>
      <c r="C510">
        <v>99</v>
      </c>
      <c r="D510">
        <v>100</v>
      </c>
      <c r="E510">
        <v>107</v>
      </c>
      <c r="F510">
        <v>104</v>
      </c>
      <c r="G510">
        <v>103</v>
      </c>
      <c r="H510">
        <v>100</v>
      </c>
      <c r="I510">
        <v>101</v>
      </c>
      <c r="J510">
        <v>98</v>
      </c>
      <c r="K510">
        <v>92</v>
      </c>
      <c r="L510">
        <v>85</v>
      </c>
      <c r="M510">
        <v>92</v>
      </c>
      <c r="N510">
        <v>88</v>
      </c>
      <c r="O510" s="173">
        <f t="shared" si="106"/>
        <v>97.416666666666671</v>
      </c>
      <c r="P510" s="173">
        <f t="shared" si="107"/>
        <v>-23.75</v>
      </c>
      <c r="Q510" s="177">
        <f t="shared" si="108"/>
        <v>-0.19601100412654746</v>
      </c>
    </row>
    <row r="511" spans="1:17" x14ac:dyDescent="0.2">
      <c r="B511" t="s">
        <v>279</v>
      </c>
      <c r="C511">
        <v>79</v>
      </c>
      <c r="D511">
        <v>82</v>
      </c>
      <c r="E511">
        <v>82</v>
      </c>
      <c r="F511">
        <v>78</v>
      </c>
      <c r="G511">
        <v>79</v>
      </c>
      <c r="H511">
        <v>83</v>
      </c>
      <c r="I511">
        <v>84</v>
      </c>
      <c r="J511">
        <v>90</v>
      </c>
      <c r="K511">
        <v>95</v>
      </c>
      <c r="L511">
        <v>94</v>
      </c>
      <c r="M511">
        <v>94</v>
      </c>
      <c r="N511">
        <v>72</v>
      </c>
      <c r="O511" s="173">
        <f t="shared" si="106"/>
        <v>84.333333333333329</v>
      </c>
      <c r="P511" s="173">
        <f t="shared" si="107"/>
        <v>-13.083333333333343</v>
      </c>
      <c r="Q511" s="177">
        <f t="shared" si="108"/>
        <v>-0.13430282292557752</v>
      </c>
    </row>
    <row r="512" spans="1:17" x14ac:dyDescent="0.2">
      <c r="B512" t="s">
        <v>317</v>
      </c>
      <c r="C512">
        <v>84</v>
      </c>
      <c r="D512">
        <v>87</v>
      </c>
      <c r="E512">
        <v>92</v>
      </c>
      <c r="F512">
        <v>97</v>
      </c>
      <c r="G512">
        <v>101</v>
      </c>
      <c r="H512">
        <v>100</v>
      </c>
      <c r="I512">
        <v>85</v>
      </c>
      <c r="J512">
        <v>86</v>
      </c>
      <c r="K512">
        <v>90</v>
      </c>
      <c r="L512">
        <v>89</v>
      </c>
      <c r="M512">
        <v>83</v>
      </c>
      <c r="N512">
        <v>82</v>
      </c>
      <c r="O512" s="173">
        <f t="shared" si="106"/>
        <v>89.666666666666671</v>
      </c>
      <c r="P512" s="173">
        <f t="shared" si="107"/>
        <v>5.3333333333333428</v>
      </c>
      <c r="Q512" s="177">
        <f t="shared" si="108"/>
        <v>6.324110671936771E-2</v>
      </c>
    </row>
    <row r="513" spans="1:17" x14ac:dyDescent="0.2">
      <c r="B513" t="s">
        <v>338</v>
      </c>
      <c r="C513">
        <v>87</v>
      </c>
      <c r="D513">
        <v>86</v>
      </c>
      <c r="E513">
        <v>87</v>
      </c>
      <c r="F513">
        <v>77</v>
      </c>
      <c r="G513">
        <v>76</v>
      </c>
      <c r="H513">
        <v>73</v>
      </c>
      <c r="I513">
        <v>69</v>
      </c>
      <c r="J513">
        <v>75</v>
      </c>
      <c r="K513">
        <v>74</v>
      </c>
      <c r="L513">
        <v>74</v>
      </c>
      <c r="M513">
        <v>72</v>
      </c>
      <c r="N513">
        <v>73</v>
      </c>
      <c r="O513" s="173">
        <f t="shared" si="106"/>
        <v>76.916666666666671</v>
      </c>
      <c r="P513" s="173">
        <f t="shared" si="107"/>
        <v>-12.75</v>
      </c>
      <c r="Q513" s="177">
        <f t="shared" si="108"/>
        <v>-0.14219330855018586</v>
      </c>
    </row>
    <row r="514" spans="1:17" x14ac:dyDescent="0.2">
      <c r="B514" t="s">
        <v>411</v>
      </c>
      <c r="C514">
        <v>74</v>
      </c>
      <c r="D514">
        <v>71</v>
      </c>
      <c r="E514">
        <v>77</v>
      </c>
      <c r="F514">
        <v>76</v>
      </c>
      <c r="G514">
        <v>78</v>
      </c>
      <c r="H514">
        <v>71</v>
      </c>
      <c r="I514">
        <v>69</v>
      </c>
      <c r="J514">
        <v>64</v>
      </c>
      <c r="K514">
        <v>62</v>
      </c>
      <c r="L514">
        <v>55</v>
      </c>
      <c r="M514">
        <v>55</v>
      </c>
      <c r="N514">
        <v>54</v>
      </c>
      <c r="O514" s="173">
        <f t="shared" si="106"/>
        <v>67.166666666666671</v>
      </c>
      <c r="P514" s="173">
        <f t="shared" si="107"/>
        <v>-9.75</v>
      </c>
      <c r="Q514" s="177">
        <f t="shared" si="108"/>
        <v>-0.12676056338028169</v>
      </c>
    </row>
    <row r="515" spans="1:17" x14ac:dyDescent="0.2">
      <c r="B515" t="s">
        <v>445</v>
      </c>
      <c r="C515">
        <v>59</v>
      </c>
      <c r="D515">
        <v>57</v>
      </c>
      <c r="E515">
        <v>54</v>
      </c>
      <c r="F515">
        <v>53</v>
      </c>
      <c r="G515">
        <v>56</v>
      </c>
      <c r="H515">
        <v>62</v>
      </c>
      <c r="I515">
        <v>55</v>
      </c>
      <c r="J515">
        <v>50</v>
      </c>
      <c r="K515">
        <v>49</v>
      </c>
      <c r="L515">
        <v>51</v>
      </c>
      <c r="M515">
        <v>52</v>
      </c>
      <c r="N515">
        <v>50</v>
      </c>
      <c r="O515" s="173">
        <f t="shared" si="106"/>
        <v>54</v>
      </c>
      <c r="P515" s="173">
        <f t="shared" si="107"/>
        <v>-13.166666666666671</v>
      </c>
      <c r="Q515" s="177">
        <f t="shared" si="108"/>
        <v>-0.19602977667493801</v>
      </c>
    </row>
    <row r="516" spans="1:17" x14ac:dyDescent="0.2">
      <c r="B516" t="s">
        <v>510</v>
      </c>
      <c r="C516">
        <v>54</v>
      </c>
      <c r="D516">
        <v>57</v>
      </c>
      <c r="E516">
        <v>63</v>
      </c>
      <c r="F516">
        <v>64</v>
      </c>
      <c r="G516">
        <v>67</v>
      </c>
      <c r="H516">
        <v>65</v>
      </c>
      <c r="I516">
        <v>65</v>
      </c>
      <c r="J516">
        <v>65</v>
      </c>
      <c r="K516">
        <v>67</v>
      </c>
      <c r="L516">
        <v>66</v>
      </c>
      <c r="M516">
        <v>66</v>
      </c>
      <c r="N516">
        <v>69</v>
      </c>
      <c r="O516" s="173">
        <f t="shared" si="106"/>
        <v>64</v>
      </c>
      <c r="P516" s="173">
        <f t="shared" si="107"/>
        <v>10</v>
      </c>
      <c r="Q516" s="177">
        <f t="shared" si="108"/>
        <v>0.18518518518518517</v>
      </c>
    </row>
    <row r="517" spans="1:17" x14ac:dyDescent="0.2">
      <c r="B517" t="s">
        <v>546</v>
      </c>
      <c r="C517">
        <v>65</v>
      </c>
      <c r="D517">
        <v>59</v>
      </c>
      <c r="E517">
        <v>54</v>
      </c>
      <c r="F517">
        <v>55</v>
      </c>
      <c r="G517">
        <v>55</v>
      </c>
      <c r="H517">
        <v>58</v>
      </c>
      <c r="I517">
        <v>57</v>
      </c>
      <c r="J517">
        <v>57</v>
      </c>
      <c r="K517">
        <v>58</v>
      </c>
      <c r="L517">
        <v>58</v>
      </c>
      <c r="M517">
        <v>67</v>
      </c>
      <c r="N517">
        <v>66</v>
      </c>
      <c r="O517" s="173">
        <f t="shared" si="106"/>
        <v>59.083333333333336</v>
      </c>
      <c r="P517" s="173">
        <f>SUM(O517-O516)</f>
        <v>-4.9166666666666643</v>
      </c>
      <c r="Q517" s="177">
        <f>SUM(P517/O516)</f>
        <v>-7.682291666666663E-2</v>
      </c>
    </row>
    <row r="518" spans="1:17" x14ac:dyDescent="0.2">
      <c r="B518" t="s">
        <v>547</v>
      </c>
      <c r="C518">
        <v>66</v>
      </c>
      <c r="D518">
        <v>61</v>
      </c>
      <c r="E518">
        <v>46</v>
      </c>
      <c r="F518">
        <v>43</v>
      </c>
      <c r="G518">
        <v>41</v>
      </c>
      <c r="H518">
        <v>37</v>
      </c>
      <c r="I518">
        <v>40</v>
      </c>
      <c r="J518">
        <v>39</v>
      </c>
      <c r="K518">
        <v>38</v>
      </c>
      <c r="L518">
        <v>37</v>
      </c>
      <c r="M518">
        <v>37</v>
      </c>
      <c r="N518">
        <v>34</v>
      </c>
      <c r="O518" s="173">
        <f t="shared" si="106"/>
        <v>43.25</v>
      </c>
      <c r="P518" s="173">
        <f>SUM(O518-O517)</f>
        <v>-15.833333333333336</v>
      </c>
      <c r="Q518" s="177">
        <f>SUM(P518/O517)</f>
        <v>-0.26798307475317351</v>
      </c>
    </row>
    <row r="519" spans="1:17" x14ac:dyDescent="0.2">
      <c r="B519" t="s">
        <v>817</v>
      </c>
      <c r="C519">
        <v>38</v>
      </c>
      <c r="D519">
        <v>38</v>
      </c>
      <c r="E519">
        <v>34</v>
      </c>
      <c r="F519">
        <v>33</v>
      </c>
      <c r="G519">
        <v>32</v>
      </c>
      <c r="H519">
        <v>32</v>
      </c>
      <c r="I519">
        <v>34</v>
      </c>
      <c r="J519">
        <v>31</v>
      </c>
      <c r="K519">
        <v>31</v>
      </c>
      <c r="L519">
        <v>38</v>
      </c>
      <c r="M519">
        <v>39</v>
      </c>
      <c r="N519">
        <v>37</v>
      </c>
      <c r="O519" s="173">
        <f t="shared" si="106"/>
        <v>34.75</v>
      </c>
      <c r="P519" s="173">
        <f>SUM(O519-O518)</f>
        <v>-8.5</v>
      </c>
      <c r="Q519" s="177">
        <f>SUM(P519/O518)</f>
        <v>-0.19653179190751446</v>
      </c>
    </row>
    <row r="520" spans="1:17" x14ac:dyDescent="0.2">
      <c r="B520" t="s">
        <v>818</v>
      </c>
      <c r="C520">
        <v>37</v>
      </c>
      <c r="D520">
        <v>38</v>
      </c>
      <c r="O520" s="173"/>
      <c r="P520" s="173"/>
      <c r="Q520" s="177"/>
    </row>
    <row r="521" spans="1:17" x14ac:dyDescent="0.2">
      <c r="A521" s="520"/>
      <c r="B521" s="520"/>
      <c r="C521" s="520"/>
      <c r="D521" s="520"/>
      <c r="E521" s="520"/>
      <c r="F521" s="520"/>
      <c r="G521" s="520"/>
      <c r="H521" s="520"/>
      <c r="I521" s="520"/>
      <c r="J521" s="520"/>
      <c r="K521" s="520"/>
      <c r="L521" s="520"/>
      <c r="M521" s="520"/>
      <c r="N521" s="520"/>
      <c r="O521" s="520"/>
      <c r="P521" s="520"/>
      <c r="Q521" s="520"/>
    </row>
    <row r="522" spans="1:17" ht="25.5" x14ac:dyDescent="0.2">
      <c r="A522" s="175" t="s">
        <v>422</v>
      </c>
      <c r="B522" s="176" t="s">
        <v>392</v>
      </c>
      <c r="C522" s="178" t="s">
        <v>393</v>
      </c>
      <c r="D522" s="178" t="s">
        <v>394</v>
      </c>
      <c r="E522" s="178" t="s">
        <v>395</v>
      </c>
      <c r="F522" s="178" t="s">
        <v>396</v>
      </c>
      <c r="G522" s="178" t="s">
        <v>397</v>
      </c>
      <c r="H522" s="178" t="s">
        <v>398</v>
      </c>
      <c r="I522" s="178" t="s">
        <v>399</v>
      </c>
      <c r="J522" s="178" t="s">
        <v>400</v>
      </c>
      <c r="K522" s="178" t="s">
        <v>401</v>
      </c>
      <c r="L522" s="178" t="s">
        <v>402</v>
      </c>
      <c r="M522" s="178" t="s">
        <v>403</v>
      </c>
      <c r="N522" s="178" t="s">
        <v>404</v>
      </c>
    </row>
    <row r="523" spans="1:17" x14ac:dyDescent="0.2">
      <c r="B523" t="s">
        <v>408</v>
      </c>
      <c r="C523">
        <v>92</v>
      </c>
      <c r="D523">
        <v>91</v>
      </c>
      <c r="E523">
        <v>97</v>
      </c>
      <c r="F523">
        <v>94</v>
      </c>
      <c r="G523">
        <v>87</v>
      </c>
      <c r="H523">
        <v>85</v>
      </c>
      <c r="I523">
        <v>91</v>
      </c>
      <c r="J523">
        <v>89</v>
      </c>
      <c r="K523">
        <v>92</v>
      </c>
      <c r="L523">
        <v>92</v>
      </c>
      <c r="M523">
        <v>94</v>
      </c>
      <c r="N523">
        <v>92</v>
      </c>
      <c r="O523" s="173">
        <f t="shared" ref="O523:O540" si="109">SUM(C523:N523)/12</f>
        <v>91.333333333333329</v>
      </c>
      <c r="P523" s="173"/>
    </row>
    <row r="524" spans="1:17" x14ac:dyDescent="0.2">
      <c r="B524" t="s">
        <v>409</v>
      </c>
      <c r="C524">
        <v>90</v>
      </c>
      <c r="D524">
        <v>98</v>
      </c>
      <c r="E524">
        <v>89</v>
      </c>
      <c r="F524">
        <v>84</v>
      </c>
      <c r="G524">
        <v>84</v>
      </c>
      <c r="H524">
        <v>78</v>
      </c>
      <c r="I524">
        <v>83</v>
      </c>
      <c r="J524">
        <v>87</v>
      </c>
      <c r="K524">
        <v>81</v>
      </c>
      <c r="L524">
        <v>81</v>
      </c>
      <c r="M524">
        <v>77</v>
      </c>
      <c r="N524">
        <v>79</v>
      </c>
      <c r="O524" s="173">
        <f t="shared" si="109"/>
        <v>84.25</v>
      </c>
      <c r="P524" s="173">
        <f t="shared" ref="P524:P537" si="110">SUM(O524-O523)</f>
        <v>-7.0833333333333286</v>
      </c>
      <c r="Q524" s="177">
        <f t="shared" ref="Q524:Q537" si="111">SUM(P524/O523)</f>
        <v>-7.7554744525547392E-2</v>
      </c>
    </row>
    <row r="525" spans="1:17" x14ac:dyDescent="0.2">
      <c r="B525" t="s">
        <v>410</v>
      </c>
      <c r="C525">
        <v>81</v>
      </c>
      <c r="D525">
        <v>78</v>
      </c>
      <c r="E525">
        <v>73</v>
      </c>
      <c r="F525">
        <v>77</v>
      </c>
      <c r="G525">
        <v>86</v>
      </c>
      <c r="H525">
        <v>96</v>
      </c>
      <c r="I525">
        <v>84</v>
      </c>
      <c r="J525">
        <v>72</v>
      </c>
      <c r="K525">
        <v>74</v>
      </c>
      <c r="L525">
        <v>76</v>
      </c>
      <c r="M525">
        <v>78</v>
      </c>
      <c r="N525">
        <v>88</v>
      </c>
      <c r="O525" s="173">
        <f t="shared" si="109"/>
        <v>80.25</v>
      </c>
      <c r="P525" s="173">
        <f t="shared" si="110"/>
        <v>-4</v>
      </c>
      <c r="Q525" s="177">
        <f t="shared" si="111"/>
        <v>-4.7477744807121663E-2</v>
      </c>
    </row>
    <row r="526" spans="1:17" x14ac:dyDescent="0.2">
      <c r="B526" t="s">
        <v>244</v>
      </c>
      <c r="C526">
        <v>98</v>
      </c>
      <c r="D526">
        <v>98</v>
      </c>
      <c r="E526">
        <v>100</v>
      </c>
      <c r="F526">
        <v>93</v>
      </c>
      <c r="G526">
        <v>93</v>
      </c>
      <c r="H526">
        <v>93</v>
      </c>
      <c r="I526">
        <v>93</v>
      </c>
      <c r="J526">
        <v>93</v>
      </c>
      <c r="K526">
        <v>93</v>
      </c>
      <c r="L526">
        <v>93</v>
      </c>
      <c r="M526">
        <v>93</v>
      </c>
      <c r="N526">
        <v>93</v>
      </c>
      <c r="O526" s="173">
        <f t="shared" si="109"/>
        <v>94.416666666666671</v>
      </c>
      <c r="P526" s="173">
        <f t="shared" si="110"/>
        <v>14.166666666666671</v>
      </c>
      <c r="Q526" s="177">
        <f t="shared" si="111"/>
        <v>0.17653167185877472</v>
      </c>
    </row>
    <row r="527" spans="1:17" x14ac:dyDescent="0.2">
      <c r="B527" t="s">
        <v>243</v>
      </c>
      <c r="C527">
        <v>106</v>
      </c>
      <c r="D527">
        <v>90</v>
      </c>
      <c r="E527">
        <v>91</v>
      </c>
      <c r="F527">
        <v>91</v>
      </c>
      <c r="G527">
        <v>87</v>
      </c>
      <c r="H527">
        <v>80</v>
      </c>
      <c r="I527">
        <v>76</v>
      </c>
      <c r="J527">
        <v>78</v>
      </c>
      <c r="K527">
        <v>83</v>
      </c>
      <c r="L527">
        <v>92</v>
      </c>
      <c r="M527">
        <v>99</v>
      </c>
      <c r="N527">
        <v>101</v>
      </c>
      <c r="O527" s="173">
        <f t="shared" si="109"/>
        <v>89.5</v>
      </c>
      <c r="P527" s="173">
        <f t="shared" si="110"/>
        <v>-4.9166666666666714</v>
      </c>
      <c r="Q527" s="177">
        <f t="shared" si="111"/>
        <v>-5.2074139452780277E-2</v>
      </c>
    </row>
    <row r="528" spans="1:17" x14ac:dyDescent="0.2">
      <c r="B528" t="s">
        <v>264</v>
      </c>
      <c r="C528">
        <v>93</v>
      </c>
      <c r="D528">
        <v>90</v>
      </c>
      <c r="E528">
        <v>91</v>
      </c>
      <c r="F528">
        <v>94</v>
      </c>
      <c r="G528">
        <v>91</v>
      </c>
      <c r="H528">
        <v>91</v>
      </c>
      <c r="I528">
        <v>93</v>
      </c>
      <c r="J528">
        <v>90</v>
      </c>
      <c r="K528">
        <v>83</v>
      </c>
      <c r="L528">
        <v>84</v>
      </c>
      <c r="M528">
        <v>79</v>
      </c>
      <c r="N528">
        <v>77</v>
      </c>
      <c r="O528" s="173">
        <f t="shared" si="109"/>
        <v>88</v>
      </c>
      <c r="P528" s="173">
        <f t="shared" si="110"/>
        <v>-1.5</v>
      </c>
      <c r="Q528" s="177">
        <f t="shared" si="111"/>
        <v>-1.6759776536312849E-2</v>
      </c>
    </row>
    <row r="529" spans="1:17" x14ac:dyDescent="0.2">
      <c r="B529" t="s">
        <v>274</v>
      </c>
      <c r="C529">
        <v>79</v>
      </c>
      <c r="D529">
        <v>78</v>
      </c>
      <c r="E529">
        <v>74</v>
      </c>
      <c r="F529">
        <v>69</v>
      </c>
      <c r="G529">
        <v>66</v>
      </c>
      <c r="H529">
        <v>62</v>
      </c>
      <c r="I529">
        <v>59</v>
      </c>
      <c r="J529">
        <v>64</v>
      </c>
      <c r="K529">
        <v>59</v>
      </c>
      <c r="L529">
        <v>55</v>
      </c>
      <c r="M529">
        <v>61</v>
      </c>
      <c r="N529">
        <v>64</v>
      </c>
      <c r="O529" s="173">
        <f t="shared" si="109"/>
        <v>65.833333333333329</v>
      </c>
      <c r="P529" s="173">
        <f t="shared" si="110"/>
        <v>-22.166666666666671</v>
      </c>
      <c r="Q529" s="177">
        <f t="shared" si="111"/>
        <v>-0.25189393939393945</v>
      </c>
    </row>
    <row r="530" spans="1:17" x14ac:dyDescent="0.2">
      <c r="B530" t="s">
        <v>277</v>
      </c>
      <c r="C530">
        <v>68</v>
      </c>
      <c r="D530">
        <v>67</v>
      </c>
      <c r="E530">
        <v>71</v>
      </c>
      <c r="F530">
        <v>72</v>
      </c>
      <c r="G530">
        <v>81</v>
      </c>
      <c r="H530">
        <v>85</v>
      </c>
      <c r="I530">
        <v>85</v>
      </c>
      <c r="J530">
        <v>85</v>
      </c>
      <c r="K530">
        <v>73</v>
      </c>
      <c r="L530">
        <v>82</v>
      </c>
      <c r="M530">
        <v>78</v>
      </c>
      <c r="N530">
        <v>80</v>
      </c>
      <c r="O530" s="173">
        <f t="shared" si="109"/>
        <v>77.25</v>
      </c>
      <c r="P530" s="173">
        <f t="shared" si="110"/>
        <v>11.416666666666671</v>
      </c>
      <c r="Q530" s="177">
        <f t="shared" si="111"/>
        <v>0.17341772151898743</v>
      </c>
    </row>
    <row r="531" spans="1:17" x14ac:dyDescent="0.2">
      <c r="B531" t="s">
        <v>278</v>
      </c>
      <c r="C531">
        <v>77</v>
      </c>
      <c r="D531">
        <v>75</v>
      </c>
      <c r="E531">
        <v>74</v>
      </c>
      <c r="F531">
        <v>75</v>
      </c>
      <c r="G531">
        <v>75</v>
      </c>
      <c r="H531">
        <v>77</v>
      </c>
      <c r="I531">
        <v>81</v>
      </c>
      <c r="J531">
        <v>79</v>
      </c>
      <c r="K531">
        <v>79</v>
      </c>
      <c r="L531">
        <v>79</v>
      </c>
      <c r="M531">
        <v>80</v>
      </c>
      <c r="N531">
        <v>76</v>
      </c>
      <c r="O531" s="173">
        <f t="shared" si="109"/>
        <v>77.25</v>
      </c>
      <c r="P531" s="173">
        <f t="shared" si="110"/>
        <v>0</v>
      </c>
      <c r="Q531" s="177">
        <f t="shared" si="111"/>
        <v>0</v>
      </c>
    </row>
    <row r="532" spans="1:17" x14ac:dyDescent="0.2">
      <c r="B532" t="s">
        <v>279</v>
      </c>
      <c r="C532">
        <v>68</v>
      </c>
      <c r="D532">
        <v>66</v>
      </c>
      <c r="E532">
        <v>65</v>
      </c>
      <c r="F532">
        <v>61</v>
      </c>
      <c r="G532">
        <v>59</v>
      </c>
      <c r="H532">
        <v>57</v>
      </c>
      <c r="I532">
        <v>55</v>
      </c>
      <c r="J532">
        <v>56</v>
      </c>
      <c r="K532">
        <v>58</v>
      </c>
      <c r="L532">
        <v>60</v>
      </c>
      <c r="M532">
        <v>61</v>
      </c>
      <c r="N532">
        <v>62</v>
      </c>
      <c r="O532" s="173">
        <f t="shared" si="109"/>
        <v>60.666666666666664</v>
      </c>
      <c r="P532" s="173">
        <f t="shared" si="110"/>
        <v>-16.583333333333336</v>
      </c>
      <c r="Q532" s="177">
        <f t="shared" si="111"/>
        <v>-0.21467098166127296</v>
      </c>
    </row>
    <row r="533" spans="1:17" x14ac:dyDescent="0.2">
      <c r="B533" t="s">
        <v>317</v>
      </c>
      <c r="C533">
        <v>58</v>
      </c>
      <c r="D533">
        <v>59</v>
      </c>
      <c r="E533">
        <v>55</v>
      </c>
      <c r="F533">
        <v>68</v>
      </c>
      <c r="G533">
        <v>62</v>
      </c>
      <c r="H533">
        <v>58</v>
      </c>
      <c r="I533">
        <v>55</v>
      </c>
      <c r="J533">
        <v>58</v>
      </c>
      <c r="K533">
        <v>59</v>
      </c>
      <c r="L533">
        <v>57</v>
      </c>
      <c r="M533">
        <v>52</v>
      </c>
      <c r="N533">
        <v>54</v>
      </c>
      <c r="O533" s="173">
        <f t="shared" si="109"/>
        <v>57.916666666666664</v>
      </c>
      <c r="P533" s="173">
        <f t="shared" si="110"/>
        <v>-2.75</v>
      </c>
      <c r="Q533" s="177">
        <f t="shared" si="111"/>
        <v>-4.5329670329670328E-2</v>
      </c>
    </row>
    <row r="534" spans="1:17" x14ac:dyDescent="0.2">
      <c r="B534" t="s">
        <v>338</v>
      </c>
      <c r="C534">
        <v>55</v>
      </c>
      <c r="D534">
        <v>55</v>
      </c>
      <c r="E534">
        <v>49</v>
      </c>
      <c r="F534">
        <v>51</v>
      </c>
      <c r="G534">
        <v>53</v>
      </c>
      <c r="H534">
        <v>57</v>
      </c>
      <c r="I534">
        <v>63</v>
      </c>
      <c r="J534">
        <v>65</v>
      </c>
      <c r="K534">
        <v>65</v>
      </c>
      <c r="L534">
        <v>61</v>
      </c>
      <c r="M534">
        <v>66</v>
      </c>
      <c r="N534">
        <v>63</v>
      </c>
      <c r="O534" s="173">
        <f t="shared" si="109"/>
        <v>58.583333333333336</v>
      </c>
      <c r="P534" s="173">
        <f t="shared" si="110"/>
        <v>0.6666666666666714</v>
      </c>
      <c r="Q534" s="177">
        <f t="shared" si="111"/>
        <v>1.1510791366906557E-2</v>
      </c>
    </row>
    <row r="535" spans="1:17" x14ac:dyDescent="0.2">
      <c r="B535" t="s">
        <v>411</v>
      </c>
      <c r="C535">
        <v>63</v>
      </c>
      <c r="D535">
        <v>66</v>
      </c>
      <c r="E535">
        <v>66</v>
      </c>
      <c r="F535">
        <v>59</v>
      </c>
      <c r="G535">
        <v>69</v>
      </c>
      <c r="H535">
        <v>72</v>
      </c>
      <c r="I535">
        <v>76</v>
      </c>
      <c r="J535">
        <v>75</v>
      </c>
      <c r="K535">
        <v>81</v>
      </c>
      <c r="L535">
        <v>82</v>
      </c>
      <c r="M535">
        <v>70</v>
      </c>
      <c r="N535">
        <v>80</v>
      </c>
      <c r="O535" s="173">
        <f t="shared" si="109"/>
        <v>71.583333333333329</v>
      </c>
      <c r="P535" s="173">
        <f t="shared" si="110"/>
        <v>12.999999999999993</v>
      </c>
      <c r="Q535" s="177">
        <f t="shared" si="111"/>
        <v>0.22190611664295862</v>
      </c>
    </row>
    <row r="536" spans="1:17" x14ac:dyDescent="0.2">
      <c r="B536" t="s">
        <v>445</v>
      </c>
      <c r="C536">
        <v>72</v>
      </c>
      <c r="D536">
        <v>71</v>
      </c>
      <c r="E536">
        <v>74</v>
      </c>
      <c r="F536">
        <v>75</v>
      </c>
      <c r="G536">
        <v>69</v>
      </c>
      <c r="H536">
        <v>74</v>
      </c>
      <c r="I536">
        <v>72</v>
      </c>
      <c r="J536">
        <v>74</v>
      </c>
      <c r="K536">
        <v>79</v>
      </c>
      <c r="L536">
        <v>82</v>
      </c>
      <c r="M536">
        <v>87</v>
      </c>
      <c r="N536">
        <v>87</v>
      </c>
      <c r="O536" s="173">
        <f t="shared" si="109"/>
        <v>76.333333333333329</v>
      </c>
      <c r="P536" s="173">
        <f t="shared" si="110"/>
        <v>4.75</v>
      </c>
      <c r="Q536" s="177">
        <f t="shared" si="111"/>
        <v>6.6356228172293363E-2</v>
      </c>
    </row>
    <row r="537" spans="1:17" x14ac:dyDescent="0.2">
      <c r="B537" t="s">
        <v>510</v>
      </c>
      <c r="C537">
        <v>94</v>
      </c>
      <c r="D537">
        <v>94</v>
      </c>
      <c r="E537">
        <v>101</v>
      </c>
      <c r="F537">
        <v>108</v>
      </c>
      <c r="G537">
        <v>108</v>
      </c>
      <c r="H537">
        <v>107</v>
      </c>
      <c r="I537">
        <v>98</v>
      </c>
      <c r="J537">
        <v>97</v>
      </c>
      <c r="K537">
        <v>96</v>
      </c>
      <c r="L537">
        <v>98</v>
      </c>
      <c r="M537">
        <v>100</v>
      </c>
      <c r="N537">
        <v>101</v>
      </c>
      <c r="O537" s="173">
        <f t="shared" si="109"/>
        <v>100.16666666666667</v>
      </c>
      <c r="P537" s="173">
        <f t="shared" si="110"/>
        <v>23.833333333333343</v>
      </c>
      <c r="Q537" s="177">
        <f t="shared" si="111"/>
        <v>0.31222707423580798</v>
      </c>
    </row>
    <row r="538" spans="1:17" x14ac:dyDescent="0.2">
      <c r="B538" t="s">
        <v>546</v>
      </c>
      <c r="C538">
        <v>101</v>
      </c>
      <c r="D538">
        <v>96</v>
      </c>
      <c r="E538">
        <v>102</v>
      </c>
      <c r="F538">
        <v>105</v>
      </c>
      <c r="G538">
        <v>103</v>
      </c>
      <c r="H538">
        <v>104</v>
      </c>
      <c r="I538">
        <v>101</v>
      </c>
      <c r="J538">
        <v>103</v>
      </c>
      <c r="K538">
        <v>94</v>
      </c>
      <c r="L538">
        <v>106</v>
      </c>
      <c r="M538">
        <v>101</v>
      </c>
      <c r="N538">
        <v>100</v>
      </c>
      <c r="O538" s="173">
        <f t="shared" si="109"/>
        <v>101.33333333333333</v>
      </c>
      <c r="P538" s="173">
        <f>SUM(O538-O537)</f>
        <v>1.1666666666666572</v>
      </c>
      <c r="Q538" s="177">
        <f>SUM(P538/O537)</f>
        <v>1.1647254575707059E-2</v>
      </c>
    </row>
    <row r="539" spans="1:17" x14ac:dyDescent="0.2">
      <c r="B539" t="s">
        <v>547</v>
      </c>
      <c r="C539">
        <v>95</v>
      </c>
      <c r="D539">
        <v>93</v>
      </c>
      <c r="E539">
        <v>93</v>
      </c>
      <c r="F539">
        <v>97</v>
      </c>
      <c r="G539">
        <v>93</v>
      </c>
      <c r="H539">
        <v>91</v>
      </c>
      <c r="I539">
        <v>92</v>
      </c>
      <c r="J539">
        <v>91</v>
      </c>
      <c r="K539">
        <v>87</v>
      </c>
      <c r="L539">
        <v>88</v>
      </c>
      <c r="M539">
        <v>86</v>
      </c>
      <c r="N539">
        <v>84</v>
      </c>
      <c r="O539" s="173">
        <f t="shared" si="109"/>
        <v>90.833333333333329</v>
      </c>
      <c r="P539" s="173">
        <f>SUM(O539-O538)</f>
        <v>-10.5</v>
      </c>
      <c r="Q539" s="177">
        <f>SUM(P539/O538)</f>
        <v>-0.10361842105263158</v>
      </c>
    </row>
    <row r="540" spans="1:17" x14ac:dyDescent="0.2">
      <c r="B540" t="s">
        <v>817</v>
      </c>
      <c r="C540">
        <v>89</v>
      </c>
      <c r="D540">
        <v>94</v>
      </c>
      <c r="E540">
        <v>94</v>
      </c>
      <c r="F540">
        <v>92</v>
      </c>
      <c r="G540">
        <v>93</v>
      </c>
      <c r="H540">
        <v>98</v>
      </c>
      <c r="I540">
        <v>98</v>
      </c>
      <c r="J540">
        <v>96</v>
      </c>
      <c r="K540">
        <v>101</v>
      </c>
      <c r="L540">
        <v>100</v>
      </c>
      <c r="M540">
        <v>98</v>
      </c>
      <c r="N540">
        <v>99</v>
      </c>
      <c r="O540" s="173">
        <f t="shared" si="109"/>
        <v>96</v>
      </c>
      <c r="P540" s="173">
        <f>SUM(O540-O539)</f>
        <v>5.1666666666666714</v>
      </c>
      <c r="Q540" s="177">
        <f>SUM(P540/O539)</f>
        <v>5.688073394495418E-2</v>
      </c>
    </row>
    <row r="541" spans="1:17" x14ac:dyDescent="0.2">
      <c r="B541" t="s">
        <v>818</v>
      </c>
      <c r="C541">
        <v>92</v>
      </c>
      <c r="D541">
        <v>89</v>
      </c>
      <c r="O541" s="173"/>
      <c r="P541" s="173"/>
      <c r="Q541" s="177"/>
    </row>
    <row r="542" spans="1:17" ht="25.5" x14ac:dyDescent="0.2">
      <c r="A542" s="175" t="s">
        <v>423</v>
      </c>
      <c r="B542" s="176" t="s">
        <v>392</v>
      </c>
      <c r="C542" s="178" t="s">
        <v>393</v>
      </c>
      <c r="D542" s="178" t="s">
        <v>394</v>
      </c>
      <c r="E542" s="178" t="s">
        <v>395</v>
      </c>
      <c r="F542" s="178" t="s">
        <v>396</v>
      </c>
      <c r="G542" s="178" t="s">
        <v>397</v>
      </c>
      <c r="H542" s="178" t="s">
        <v>398</v>
      </c>
      <c r="I542" s="178" t="s">
        <v>399</v>
      </c>
      <c r="J542" s="178" t="s">
        <v>400</v>
      </c>
      <c r="K542" s="178" t="s">
        <v>401</v>
      </c>
      <c r="L542" s="178" t="s">
        <v>402</v>
      </c>
      <c r="M542" s="178" t="s">
        <v>403</v>
      </c>
      <c r="N542" s="178" t="s">
        <v>404</v>
      </c>
    </row>
    <row r="543" spans="1:17" x14ac:dyDescent="0.2">
      <c r="B543" t="s">
        <v>408</v>
      </c>
      <c r="C543">
        <v>438</v>
      </c>
      <c r="D543">
        <v>444</v>
      </c>
      <c r="E543">
        <v>446</v>
      </c>
      <c r="F543">
        <v>441</v>
      </c>
      <c r="G543">
        <v>444</v>
      </c>
      <c r="H543">
        <v>449</v>
      </c>
      <c r="I543">
        <v>447</v>
      </c>
      <c r="J543">
        <v>460</v>
      </c>
      <c r="K543">
        <v>465</v>
      </c>
      <c r="L543">
        <v>463</v>
      </c>
      <c r="M543">
        <v>469</v>
      </c>
      <c r="N543">
        <v>478</v>
      </c>
      <c r="O543" s="173">
        <f t="shared" ref="O543:O560" si="112">SUM(C543:N543)/12</f>
        <v>453.66666666666669</v>
      </c>
      <c r="P543" s="173"/>
    </row>
    <row r="544" spans="1:17" x14ac:dyDescent="0.2">
      <c r="B544" t="s">
        <v>409</v>
      </c>
      <c r="C544">
        <v>474</v>
      </c>
      <c r="D544">
        <v>481</v>
      </c>
      <c r="E544">
        <v>491</v>
      </c>
      <c r="F544">
        <v>478</v>
      </c>
      <c r="G544">
        <v>472</v>
      </c>
      <c r="H544">
        <v>477</v>
      </c>
      <c r="I544">
        <v>476</v>
      </c>
      <c r="J544">
        <v>470</v>
      </c>
      <c r="K544">
        <v>467</v>
      </c>
      <c r="L544">
        <v>480</v>
      </c>
      <c r="M544">
        <v>461</v>
      </c>
      <c r="N544">
        <v>449</v>
      </c>
      <c r="O544" s="173">
        <f t="shared" si="112"/>
        <v>473</v>
      </c>
      <c r="P544" s="173">
        <f t="shared" ref="P544:P557" si="113">SUM(O544-O543)</f>
        <v>19.333333333333314</v>
      </c>
      <c r="Q544" s="177">
        <f t="shared" ref="Q544:Q557" si="114">SUM(P544/O543)</f>
        <v>4.261572373254955E-2</v>
      </c>
    </row>
    <row r="545" spans="2:17" x14ac:dyDescent="0.2">
      <c r="B545" t="s">
        <v>410</v>
      </c>
      <c r="C545">
        <v>463</v>
      </c>
      <c r="D545">
        <v>474</v>
      </c>
      <c r="E545">
        <v>480</v>
      </c>
      <c r="F545">
        <v>457</v>
      </c>
      <c r="G545">
        <v>459</v>
      </c>
      <c r="H545">
        <v>469</v>
      </c>
      <c r="I545">
        <v>460</v>
      </c>
      <c r="J545">
        <v>446</v>
      </c>
      <c r="K545">
        <v>457</v>
      </c>
      <c r="L545">
        <v>468</v>
      </c>
      <c r="M545">
        <v>479</v>
      </c>
      <c r="N545">
        <v>490</v>
      </c>
      <c r="O545" s="173">
        <f t="shared" si="112"/>
        <v>466.83333333333331</v>
      </c>
      <c r="P545" s="173">
        <f t="shared" si="113"/>
        <v>-6.1666666666666856</v>
      </c>
      <c r="Q545" s="177">
        <f t="shared" si="114"/>
        <v>-1.3037350246652613E-2</v>
      </c>
    </row>
    <row r="546" spans="2:17" x14ac:dyDescent="0.2">
      <c r="B546" t="s">
        <v>244</v>
      </c>
      <c r="C546">
        <v>537</v>
      </c>
      <c r="D546">
        <v>544</v>
      </c>
      <c r="E546">
        <v>514</v>
      </c>
      <c r="F546">
        <v>562</v>
      </c>
      <c r="G546">
        <v>557</v>
      </c>
      <c r="H546">
        <v>551</v>
      </c>
      <c r="I546">
        <v>545</v>
      </c>
      <c r="J546">
        <v>538</v>
      </c>
      <c r="K546">
        <v>525</v>
      </c>
      <c r="L546">
        <v>518</v>
      </c>
      <c r="M546">
        <v>502</v>
      </c>
      <c r="N546">
        <v>506</v>
      </c>
      <c r="O546" s="173">
        <f t="shared" si="112"/>
        <v>533.25</v>
      </c>
      <c r="P546" s="173">
        <f t="shared" si="113"/>
        <v>66.416666666666686</v>
      </c>
      <c r="Q546" s="177">
        <f t="shared" si="114"/>
        <v>0.14227061763655841</v>
      </c>
    </row>
    <row r="547" spans="2:17" x14ac:dyDescent="0.2">
      <c r="B547" t="s">
        <v>243</v>
      </c>
      <c r="C547">
        <v>519</v>
      </c>
      <c r="D547">
        <v>507</v>
      </c>
      <c r="E547">
        <v>516</v>
      </c>
      <c r="F547">
        <v>509</v>
      </c>
      <c r="G547">
        <v>495</v>
      </c>
      <c r="H547">
        <v>503</v>
      </c>
      <c r="I547">
        <v>484</v>
      </c>
      <c r="J547">
        <v>484</v>
      </c>
      <c r="K547">
        <v>477</v>
      </c>
      <c r="L547">
        <v>470</v>
      </c>
      <c r="M547">
        <v>474</v>
      </c>
      <c r="N547">
        <v>464</v>
      </c>
      <c r="O547" s="173">
        <f t="shared" si="112"/>
        <v>491.83333333333331</v>
      </c>
      <c r="P547" s="173">
        <f t="shared" si="113"/>
        <v>-41.416666666666686</v>
      </c>
      <c r="Q547" s="177">
        <f t="shared" si="114"/>
        <v>-7.7668385685263353E-2</v>
      </c>
    </row>
    <row r="548" spans="2:17" x14ac:dyDescent="0.2">
      <c r="B548" t="s">
        <v>264</v>
      </c>
      <c r="C548">
        <v>472</v>
      </c>
      <c r="D548">
        <v>489</v>
      </c>
      <c r="E548">
        <v>468</v>
      </c>
      <c r="F548">
        <v>461</v>
      </c>
      <c r="G548">
        <v>460</v>
      </c>
      <c r="H548">
        <v>449</v>
      </c>
      <c r="I548">
        <v>436</v>
      </c>
      <c r="J548">
        <v>442</v>
      </c>
      <c r="K548">
        <v>445</v>
      </c>
      <c r="L548">
        <v>458</v>
      </c>
      <c r="M548">
        <v>472</v>
      </c>
      <c r="N548">
        <v>480</v>
      </c>
      <c r="O548" s="173">
        <f t="shared" si="112"/>
        <v>461</v>
      </c>
      <c r="P548" s="173">
        <f t="shared" si="113"/>
        <v>-30.833333333333314</v>
      </c>
      <c r="Q548" s="177">
        <f t="shared" si="114"/>
        <v>-6.2690613351406271E-2</v>
      </c>
    </row>
    <row r="549" spans="2:17" x14ac:dyDescent="0.2">
      <c r="B549" t="s">
        <v>274</v>
      </c>
      <c r="C549">
        <v>478</v>
      </c>
      <c r="D549">
        <v>478</v>
      </c>
      <c r="E549">
        <v>474</v>
      </c>
      <c r="F549">
        <v>493</v>
      </c>
      <c r="G549">
        <v>488</v>
      </c>
      <c r="H549">
        <v>495</v>
      </c>
      <c r="I549">
        <v>507</v>
      </c>
      <c r="J549">
        <v>499</v>
      </c>
      <c r="K549">
        <v>500</v>
      </c>
      <c r="L549">
        <v>518</v>
      </c>
      <c r="M549">
        <v>540</v>
      </c>
      <c r="N549">
        <v>551</v>
      </c>
      <c r="O549" s="173">
        <f t="shared" si="112"/>
        <v>501.75</v>
      </c>
      <c r="P549" s="173">
        <f t="shared" si="113"/>
        <v>40.75</v>
      </c>
      <c r="Q549" s="177">
        <f t="shared" si="114"/>
        <v>8.8394793926247286E-2</v>
      </c>
    </row>
    <row r="550" spans="2:17" x14ac:dyDescent="0.2">
      <c r="B550" t="s">
        <v>277</v>
      </c>
      <c r="C550">
        <v>551</v>
      </c>
      <c r="D550">
        <v>536</v>
      </c>
      <c r="E550">
        <v>521</v>
      </c>
      <c r="F550">
        <v>522</v>
      </c>
      <c r="G550">
        <v>527</v>
      </c>
      <c r="H550">
        <v>545</v>
      </c>
      <c r="I550">
        <v>548</v>
      </c>
      <c r="J550">
        <v>549</v>
      </c>
      <c r="K550">
        <v>549</v>
      </c>
      <c r="L550">
        <v>650</v>
      </c>
      <c r="M550">
        <v>666</v>
      </c>
      <c r="N550">
        <v>591</v>
      </c>
      <c r="O550" s="173">
        <f t="shared" si="112"/>
        <v>562.91666666666663</v>
      </c>
      <c r="P550" s="173">
        <f t="shared" si="113"/>
        <v>61.166666666666629</v>
      </c>
      <c r="Q550" s="177">
        <f t="shared" si="114"/>
        <v>0.12190666002325187</v>
      </c>
    </row>
    <row r="551" spans="2:17" x14ac:dyDescent="0.2">
      <c r="B551" t="s">
        <v>278</v>
      </c>
      <c r="C551">
        <v>596</v>
      </c>
      <c r="D551">
        <v>617</v>
      </c>
      <c r="E551">
        <v>722</v>
      </c>
      <c r="F551">
        <v>657</v>
      </c>
      <c r="G551">
        <v>723</v>
      </c>
      <c r="H551">
        <v>717</v>
      </c>
      <c r="I551">
        <v>729</v>
      </c>
      <c r="J551">
        <v>730</v>
      </c>
      <c r="K551">
        <v>721</v>
      </c>
      <c r="L551">
        <v>721</v>
      </c>
      <c r="M551">
        <v>754</v>
      </c>
      <c r="N551">
        <v>770</v>
      </c>
      <c r="O551" s="173">
        <f t="shared" si="112"/>
        <v>704.75</v>
      </c>
      <c r="P551" s="173">
        <f t="shared" si="113"/>
        <v>141.83333333333337</v>
      </c>
      <c r="Q551" s="177">
        <f t="shared" si="114"/>
        <v>0.25196150999259814</v>
      </c>
    </row>
    <row r="552" spans="2:17" x14ac:dyDescent="0.2">
      <c r="B552" t="s">
        <v>279</v>
      </c>
      <c r="C552">
        <v>711</v>
      </c>
      <c r="D552">
        <v>710</v>
      </c>
      <c r="E552">
        <v>721</v>
      </c>
      <c r="F552">
        <v>726</v>
      </c>
      <c r="G552">
        <v>736</v>
      </c>
      <c r="H552">
        <v>731</v>
      </c>
      <c r="I552">
        <v>722</v>
      </c>
      <c r="J552">
        <v>719</v>
      </c>
      <c r="K552">
        <v>722</v>
      </c>
      <c r="L552">
        <v>750</v>
      </c>
      <c r="M552">
        <v>759</v>
      </c>
      <c r="N552">
        <v>764</v>
      </c>
      <c r="O552" s="173">
        <f t="shared" si="112"/>
        <v>730.91666666666663</v>
      </c>
      <c r="P552" s="173">
        <f t="shared" si="113"/>
        <v>26.166666666666629</v>
      </c>
      <c r="Q552" s="177">
        <f t="shared" si="114"/>
        <v>3.7129005557526254E-2</v>
      </c>
    </row>
    <row r="553" spans="2:17" x14ac:dyDescent="0.2">
      <c r="B553" t="s">
        <v>317</v>
      </c>
      <c r="C553">
        <v>750</v>
      </c>
      <c r="D553">
        <v>743</v>
      </c>
      <c r="E553">
        <v>732</v>
      </c>
      <c r="F553">
        <v>728</v>
      </c>
      <c r="G553">
        <v>713</v>
      </c>
      <c r="H553">
        <v>774</v>
      </c>
      <c r="I553">
        <v>746</v>
      </c>
      <c r="J553">
        <v>760</v>
      </c>
      <c r="K553">
        <v>768</v>
      </c>
      <c r="L553">
        <v>783</v>
      </c>
      <c r="M553">
        <v>769</v>
      </c>
      <c r="N553">
        <v>766</v>
      </c>
      <c r="O553" s="173">
        <f t="shared" si="112"/>
        <v>752.66666666666663</v>
      </c>
      <c r="P553" s="173">
        <f t="shared" si="113"/>
        <v>21.75</v>
      </c>
      <c r="Q553" s="177">
        <f t="shared" si="114"/>
        <v>2.9757154258351386E-2</v>
      </c>
    </row>
    <row r="554" spans="2:17" x14ac:dyDescent="0.2">
      <c r="B554" t="s">
        <v>338</v>
      </c>
      <c r="C554">
        <v>793</v>
      </c>
      <c r="D554">
        <v>763</v>
      </c>
      <c r="E554">
        <v>771</v>
      </c>
      <c r="F554">
        <v>782</v>
      </c>
      <c r="G554">
        <v>756</v>
      </c>
      <c r="H554">
        <v>768</v>
      </c>
      <c r="I554">
        <v>763</v>
      </c>
      <c r="J554">
        <v>762</v>
      </c>
      <c r="K554">
        <v>773</v>
      </c>
      <c r="L554">
        <v>776</v>
      </c>
      <c r="M554">
        <v>743</v>
      </c>
      <c r="N554">
        <v>744</v>
      </c>
      <c r="O554" s="173">
        <f t="shared" si="112"/>
        <v>766.16666666666663</v>
      </c>
      <c r="P554" s="173">
        <f t="shared" si="113"/>
        <v>13.5</v>
      </c>
      <c r="Q554" s="177">
        <f t="shared" si="114"/>
        <v>1.7936226749335697E-2</v>
      </c>
    </row>
    <row r="555" spans="2:17" x14ac:dyDescent="0.2">
      <c r="B555" t="s">
        <v>411</v>
      </c>
      <c r="C555">
        <v>746</v>
      </c>
      <c r="D555">
        <v>738</v>
      </c>
      <c r="E555">
        <v>726</v>
      </c>
      <c r="F555">
        <v>723</v>
      </c>
      <c r="G555">
        <v>723</v>
      </c>
      <c r="H555">
        <v>711</v>
      </c>
      <c r="I555">
        <v>722</v>
      </c>
      <c r="J555">
        <v>715</v>
      </c>
      <c r="K555">
        <v>701</v>
      </c>
      <c r="L555">
        <v>696</v>
      </c>
      <c r="M555">
        <v>716</v>
      </c>
      <c r="N555">
        <v>722</v>
      </c>
      <c r="O555" s="173">
        <f t="shared" si="112"/>
        <v>719.91666666666663</v>
      </c>
      <c r="P555" s="173">
        <f t="shared" si="113"/>
        <v>-46.25</v>
      </c>
      <c r="Q555" s="177">
        <f t="shared" si="114"/>
        <v>-6.0365455731999133E-2</v>
      </c>
    </row>
    <row r="556" spans="2:17" x14ac:dyDescent="0.2">
      <c r="B556" t="s">
        <v>445</v>
      </c>
      <c r="C556">
        <v>720</v>
      </c>
      <c r="D556">
        <v>754</v>
      </c>
      <c r="E556">
        <v>702</v>
      </c>
      <c r="F556">
        <v>720</v>
      </c>
      <c r="G556">
        <v>705</v>
      </c>
      <c r="H556">
        <v>715</v>
      </c>
      <c r="I556">
        <v>712</v>
      </c>
      <c r="J556">
        <v>720</v>
      </c>
      <c r="K556">
        <v>712</v>
      </c>
      <c r="L556">
        <v>709</v>
      </c>
      <c r="M556">
        <v>704</v>
      </c>
      <c r="N556">
        <v>720</v>
      </c>
      <c r="O556" s="173">
        <f t="shared" si="112"/>
        <v>716.08333333333337</v>
      </c>
      <c r="P556" s="173">
        <f t="shared" si="113"/>
        <v>-3.8333333333332575</v>
      </c>
      <c r="Q556" s="177">
        <f t="shared" si="114"/>
        <v>-5.3246903576801823E-3</v>
      </c>
    </row>
    <row r="557" spans="2:17" x14ac:dyDescent="0.2">
      <c r="B557" t="s">
        <v>510</v>
      </c>
      <c r="C557">
        <v>726</v>
      </c>
      <c r="D557">
        <v>712</v>
      </c>
      <c r="E557">
        <v>724</v>
      </c>
      <c r="F557">
        <v>708</v>
      </c>
      <c r="G557">
        <v>701</v>
      </c>
      <c r="H557">
        <v>715</v>
      </c>
      <c r="I557">
        <v>708</v>
      </c>
      <c r="J557">
        <v>702</v>
      </c>
      <c r="K557">
        <v>695</v>
      </c>
      <c r="L557">
        <v>713</v>
      </c>
      <c r="M557">
        <v>720</v>
      </c>
      <c r="N557">
        <v>732</v>
      </c>
      <c r="O557" s="173">
        <f t="shared" si="112"/>
        <v>713</v>
      </c>
      <c r="P557" s="173">
        <f t="shared" si="113"/>
        <v>-3.0833333333333712</v>
      </c>
      <c r="Q557" s="177">
        <f t="shared" si="114"/>
        <v>-4.3058303270104101E-3</v>
      </c>
    </row>
    <row r="558" spans="2:17" x14ac:dyDescent="0.2">
      <c r="B558" t="s">
        <v>546</v>
      </c>
      <c r="C558">
        <v>712</v>
      </c>
      <c r="D558">
        <v>705</v>
      </c>
      <c r="E558">
        <v>689</v>
      </c>
      <c r="F558">
        <v>668</v>
      </c>
      <c r="G558">
        <v>662</v>
      </c>
      <c r="H558">
        <v>644</v>
      </c>
      <c r="I558">
        <v>641</v>
      </c>
      <c r="J558">
        <v>629</v>
      </c>
      <c r="K558">
        <v>652</v>
      </c>
      <c r="L558">
        <v>643</v>
      </c>
      <c r="M558">
        <v>652</v>
      </c>
      <c r="N558">
        <v>662</v>
      </c>
      <c r="O558" s="173">
        <f t="shared" si="112"/>
        <v>663.25</v>
      </c>
      <c r="P558" s="173">
        <f>SUM(O558-O557)</f>
        <v>-49.75</v>
      </c>
      <c r="Q558" s="177">
        <f>SUM(P558/O557)</f>
        <v>-6.9775596072931281E-2</v>
      </c>
    </row>
    <row r="559" spans="2:17" x14ac:dyDescent="0.2">
      <c r="B559" t="s">
        <v>547</v>
      </c>
      <c r="C559">
        <v>637</v>
      </c>
      <c r="D559">
        <v>640</v>
      </c>
      <c r="E559">
        <v>638</v>
      </c>
      <c r="F559">
        <v>629</v>
      </c>
      <c r="G559">
        <v>627</v>
      </c>
      <c r="H559">
        <v>647</v>
      </c>
      <c r="I559">
        <v>651</v>
      </c>
      <c r="J559">
        <v>655</v>
      </c>
      <c r="K559">
        <v>640</v>
      </c>
      <c r="L559">
        <v>632</v>
      </c>
      <c r="M559">
        <v>641</v>
      </c>
      <c r="N559">
        <v>644</v>
      </c>
      <c r="O559" s="173">
        <f t="shared" si="112"/>
        <v>640.08333333333337</v>
      </c>
      <c r="P559" s="173">
        <f>SUM(O559-O558)</f>
        <v>-23.166666666666629</v>
      </c>
      <c r="Q559" s="177">
        <f>SUM(P559/O558)</f>
        <v>-3.4929011182309282E-2</v>
      </c>
    </row>
    <row r="560" spans="2:17" x14ac:dyDescent="0.2">
      <c r="B560" t="s">
        <v>817</v>
      </c>
      <c r="C560">
        <v>644</v>
      </c>
      <c r="D560">
        <v>637</v>
      </c>
      <c r="E560">
        <v>610</v>
      </c>
      <c r="F560">
        <v>579</v>
      </c>
      <c r="G560">
        <v>646</v>
      </c>
      <c r="H560">
        <v>640</v>
      </c>
      <c r="I560">
        <v>640</v>
      </c>
      <c r="J560">
        <v>610</v>
      </c>
      <c r="K560">
        <v>588</v>
      </c>
      <c r="L560">
        <v>582</v>
      </c>
      <c r="M560">
        <v>580</v>
      </c>
      <c r="N560">
        <v>582</v>
      </c>
      <c r="O560" s="173">
        <f t="shared" si="112"/>
        <v>611.5</v>
      </c>
      <c r="P560" s="173">
        <f>SUM(O560-O559)</f>
        <v>-28.583333333333371</v>
      </c>
      <c r="Q560" s="177">
        <f>SUM(P560/O559)</f>
        <v>-4.4655643796380734E-2</v>
      </c>
    </row>
    <row r="561" spans="1:18" x14ac:dyDescent="0.2">
      <c r="B561" t="s">
        <v>818</v>
      </c>
      <c r="C561">
        <v>581</v>
      </c>
      <c r="D561">
        <v>542</v>
      </c>
      <c r="O561" s="173"/>
      <c r="P561" s="173"/>
      <c r="Q561" s="177"/>
    </row>
    <row r="562" spans="1:18" x14ac:dyDescent="0.2">
      <c r="A562" s="520"/>
      <c r="B562" s="520"/>
      <c r="C562" s="520"/>
      <c r="D562" s="520"/>
      <c r="E562" s="520"/>
      <c r="F562" s="520"/>
      <c r="G562" s="520"/>
      <c r="H562" s="520"/>
      <c r="I562" s="520"/>
      <c r="J562" s="520"/>
      <c r="K562" s="520"/>
      <c r="L562" s="520"/>
      <c r="M562" s="520"/>
      <c r="N562" s="520"/>
      <c r="O562" s="520"/>
      <c r="P562" s="520"/>
      <c r="Q562" s="520"/>
    </row>
    <row r="563" spans="1:18" ht="25.5" x14ac:dyDescent="0.2">
      <c r="A563" s="175" t="s">
        <v>424</v>
      </c>
      <c r="B563" s="176" t="s">
        <v>392</v>
      </c>
      <c r="C563" s="178" t="s">
        <v>393</v>
      </c>
      <c r="D563" s="178" t="s">
        <v>394</v>
      </c>
      <c r="E563" s="178" t="s">
        <v>395</v>
      </c>
      <c r="F563" s="178" t="s">
        <v>396</v>
      </c>
      <c r="G563" s="178" t="s">
        <v>397</v>
      </c>
      <c r="H563" s="178" t="s">
        <v>398</v>
      </c>
      <c r="I563" s="178" t="s">
        <v>399</v>
      </c>
      <c r="J563" s="178" t="s">
        <v>400</v>
      </c>
      <c r="K563" s="178" t="s">
        <v>401</v>
      </c>
      <c r="L563" s="178" t="s">
        <v>402</v>
      </c>
      <c r="M563" s="178" t="s">
        <v>403</v>
      </c>
      <c r="N563" s="178" t="s">
        <v>404</v>
      </c>
    </row>
    <row r="564" spans="1:18" x14ac:dyDescent="0.2">
      <c r="B564" t="s">
        <v>408</v>
      </c>
      <c r="C564">
        <v>51</v>
      </c>
      <c r="D564">
        <v>44</v>
      </c>
      <c r="E564">
        <v>43</v>
      </c>
      <c r="F564">
        <v>39</v>
      </c>
      <c r="G564">
        <v>39</v>
      </c>
      <c r="H564">
        <v>39</v>
      </c>
      <c r="I564">
        <v>43</v>
      </c>
      <c r="J564">
        <v>41</v>
      </c>
      <c r="K564">
        <v>42</v>
      </c>
      <c r="L564">
        <v>42</v>
      </c>
      <c r="M564">
        <v>43</v>
      </c>
      <c r="N564">
        <v>40</v>
      </c>
      <c r="O564" s="173">
        <f t="shared" ref="O564:O581" si="115">SUM(C564:N564)/12</f>
        <v>42.166666666666664</v>
      </c>
      <c r="P564" s="173"/>
    </row>
    <row r="565" spans="1:18" x14ac:dyDescent="0.2">
      <c r="B565" t="s">
        <v>409</v>
      </c>
      <c r="C565">
        <v>43</v>
      </c>
      <c r="D565">
        <v>47</v>
      </c>
      <c r="E565">
        <v>47</v>
      </c>
      <c r="F565">
        <v>51</v>
      </c>
      <c r="G565">
        <v>46</v>
      </c>
      <c r="H565">
        <v>44</v>
      </c>
      <c r="I565">
        <v>48</v>
      </c>
      <c r="J565">
        <v>41</v>
      </c>
      <c r="K565">
        <v>47</v>
      </c>
      <c r="L565">
        <v>44</v>
      </c>
      <c r="M565">
        <v>43</v>
      </c>
      <c r="N565">
        <v>46</v>
      </c>
      <c r="O565" s="173">
        <f t="shared" si="115"/>
        <v>45.583333333333336</v>
      </c>
      <c r="P565" s="173">
        <f t="shared" ref="P565:P578" si="116">SUM(O565-O564)</f>
        <v>3.4166666666666714</v>
      </c>
      <c r="Q565" s="177">
        <f t="shared" ref="Q565:Q578" si="117">SUM(P565/O564)</f>
        <v>8.1027667984189838E-2</v>
      </c>
    </row>
    <row r="566" spans="1:18" x14ac:dyDescent="0.2">
      <c r="B566" t="s">
        <v>410</v>
      </c>
      <c r="C566">
        <v>45</v>
      </c>
      <c r="D566">
        <v>49</v>
      </c>
      <c r="E566">
        <v>48</v>
      </c>
      <c r="F566">
        <v>51</v>
      </c>
      <c r="G566">
        <v>51</v>
      </c>
      <c r="H566">
        <v>46</v>
      </c>
      <c r="I566">
        <v>49</v>
      </c>
      <c r="J566">
        <v>45</v>
      </c>
      <c r="K566">
        <v>46</v>
      </c>
      <c r="L566">
        <v>47</v>
      </c>
      <c r="M566">
        <v>48</v>
      </c>
      <c r="N566">
        <v>49</v>
      </c>
      <c r="O566" s="173">
        <f t="shared" si="115"/>
        <v>47.833333333333336</v>
      </c>
      <c r="P566" s="173">
        <f t="shared" si="116"/>
        <v>2.25</v>
      </c>
      <c r="Q566" s="177">
        <f t="shared" si="117"/>
        <v>4.9360146252285186E-2</v>
      </c>
      <c r="R566" s="177"/>
    </row>
    <row r="567" spans="1:18" x14ac:dyDescent="0.2">
      <c r="B567" t="s">
        <v>244</v>
      </c>
      <c r="C567">
        <v>35</v>
      </c>
      <c r="D567">
        <v>35</v>
      </c>
      <c r="E567">
        <v>36</v>
      </c>
      <c r="F567">
        <v>39</v>
      </c>
      <c r="G567">
        <v>39</v>
      </c>
      <c r="H567">
        <v>43</v>
      </c>
      <c r="I567">
        <v>47</v>
      </c>
      <c r="J567">
        <v>45</v>
      </c>
      <c r="K567">
        <v>47</v>
      </c>
      <c r="L567">
        <v>51</v>
      </c>
      <c r="M567">
        <v>47</v>
      </c>
      <c r="N567">
        <v>45</v>
      </c>
      <c r="O567" s="173">
        <f t="shared" si="115"/>
        <v>42.416666666666664</v>
      </c>
      <c r="P567" s="173">
        <f t="shared" si="116"/>
        <v>-5.4166666666666714</v>
      </c>
      <c r="Q567" s="177">
        <f t="shared" si="117"/>
        <v>-0.113240418118467</v>
      </c>
    </row>
    <row r="568" spans="1:18" x14ac:dyDescent="0.2">
      <c r="B568" t="s">
        <v>243</v>
      </c>
      <c r="C568">
        <v>55</v>
      </c>
      <c r="D568">
        <v>51</v>
      </c>
      <c r="E568">
        <v>49</v>
      </c>
      <c r="F568">
        <v>51</v>
      </c>
      <c r="G568">
        <v>52</v>
      </c>
      <c r="H568">
        <v>54</v>
      </c>
      <c r="I568">
        <v>55</v>
      </c>
      <c r="J568">
        <v>55</v>
      </c>
      <c r="K568">
        <v>42</v>
      </c>
      <c r="L568">
        <v>38</v>
      </c>
      <c r="M568">
        <v>85</v>
      </c>
      <c r="N568">
        <v>81</v>
      </c>
      <c r="O568" s="173">
        <f t="shared" si="115"/>
        <v>55.666666666666664</v>
      </c>
      <c r="P568" s="173">
        <f t="shared" si="116"/>
        <v>13.25</v>
      </c>
      <c r="Q568" s="177">
        <f t="shared" si="117"/>
        <v>0.31237721021611004</v>
      </c>
    </row>
    <row r="569" spans="1:18" x14ac:dyDescent="0.2">
      <c r="B569" t="s">
        <v>264</v>
      </c>
      <c r="C569">
        <v>81</v>
      </c>
      <c r="D569">
        <v>81</v>
      </c>
      <c r="E569">
        <v>74</v>
      </c>
      <c r="F569">
        <v>79</v>
      </c>
      <c r="G569">
        <v>77</v>
      </c>
      <c r="H569">
        <v>77</v>
      </c>
      <c r="I569">
        <v>74</v>
      </c>
      <c r="J569">
        <v>74</v>
      </c>
      <c r="K569">
        <v>74</v>
      </c>
      <c r="L569">
        <v>75</v>
      </c>
      <c r="M569">
        <v>75</v>
      </c>
      <c r="N569">
        <v>76</v>
      </c>
      <c r="O569" s="173">
        <f t="shared" si="115"/>
        <v>76.416666666666671</v>
      </c>
      <c r="P569" s="173">
        <f t="shared" si="116"/>
        <v>20.750000000000007</v>
      </c>
      <c r="Q569" s="177">
        <f t="shared" si="117"/>
        <v>0.37275449101796421</v>
      </c>
    </row>
    <row r="570" spans="1:18" x14ac:dyDescent="0.2">
      <c r="B570" t="s">
        <v>274</v>
      </c>
      <c r="C570">
        <v>78</v>
      </c>
      <c r="D570">
        <v>76</v>
      </c>
      <c r="E570">
        <v>80</v>
      </c>
      <c r="F570">
        <v>81</v>
      </c>
      <c r="G570">
        <v>77</v>
      </c>
      <c r="H570">
        <v>76</v>
      </c>
      <c r="I570">
        <v>74</v>
      </c>
      <c r="J570">
        <v>76</v>
      </c>
      <c r="K570">
        <v>71</v>
      </c>
      <c r="L570">
        <v>71</v>
      </c>
      <c r="M570">
        <v>74</v>
      </c>
      <c r="N570">
        <v>75</v>
      </c>
      <c r="O570" s="173">
        <f t="shared" si="115"/>
        <v>75.75</v>
      </c>
      <c r="P570" s="173">
        <f t="shared" si="116"/>
        <v>-0.6666666666666714</v>
      </c>
      <c r="Q570" s="177">
        <f t="shared" si="117"/>
        <v>-8.7241003271538234E-3</v>
      </c>
    </row>
    <row r="571" spans="1:18" x14ac:dyDescent="0.2">
      <c r="B571" t="s">
        <v>277</v>
      </c>
      <c r="C571">
        <v>75</v>
      </c>
      <c r="D571">
        <v>74</v>
      </c>
      <c r="E571">
        <v>73</v>
      </c>
      <c r="F571">
        <v>72</v>
      </c>
      <c r="G571">
        <v>75</v>
      </c>
      <c r="H571">
        <v>74</v>
      </c>
      <c r="I571">
        <v>73</v>
      </c>
      <c r="J571">
        <v>73</v>
      </c>
      <c r="K571">
        <v>71</v>
      </c>
      <c r="L571">
        <v>84</v>
      </c>
      <c r="M571">
        <v>79</v>
      </c>
      <c r="N571">
        <v>74</v>
      </c>
      <c r="O571" s="173">
        <f t="shared" si="115"/>
        <v>74.75</v>
      </c>
      <c r="P571" s="173">
        <f t="shared" si="116"/>
        <v>-1</v>
      </c>
      <c r="Q571" s="177">
        <f t="shared" si="117"/>
        <v>-1.3201320132013201E-2</v>
      </c>
    </row>
    <row r="572" spans="1:18" x14ac:dyDescent="0.2">
      <c r="B572" t="s">
        <v>278</v>
      </c>
      <c r="C572">
        <v>70</v>
      </c>
      <c r="D572">
        <v>68</v>
      </c>
      <c r="E572">
        <v>80</v>
      </c>
      <c r="F572">
        <v>73</v>
      </c>
      <c r="G572">
        <v>82</v>
      </c>
      <c r="H572">
        <v>81</v>
      </c>
      <c r="I572">
        <v>83</v>
      </c>
      <c r="J572">
        <v>80</v>
      </c>
      <c r="K572">
        <v>78</v>
      </c>
      <c r="L572">
        <v>78</v>
      </c>
      <c r="M572">
        <v>78</v>
      </c>
      <c r="N572">
        <v>86</v>
      </c>
      <c r="O572" s="173">
        <f t="shared" si="115"/>
        <v>78.083333333333329</v>
      </c>
      <c r="P572" s="173">
        <f t="shared" si="116"/>
        <v>3.3333333333333286</v>
      </c>
      <c r="Q572" s="177">
        <f t="shared" si="117"/>
        <v>4.4593088071348874E-2</v>
      </c>
    </row>
    <row r="573" spans="1:18" x14ac:dyDescent="0.2">
      <c r="B573" t="s">
        <v>279</v>
      </c>
      <c r="C573">
        <v>75</v>
      </c>
      <c r="D573">
        <v>74</v>
      </c>
      <c r="E573">
        <v>79</v>
      </c>
      <c r="F573">
        <v>77</v>
      </c>
      <c r="G573">
        <v>75</v>
      </c>
      <c r="H573">
        <v>66</v>
      </c>
      <c r="I573">
        <v>64</v>
      </c>
      <c r="J573">
        <v>64</v>
      </c>
      <c r="K573">
        <v>47</v>
      </c>
      <c r="L573">
        <v>47</v>
      </c>
      <c r="M573">
        <v>45</v>
      </c>
      <c r="N573">
        <v>47</v>
      </c>
      <c r="O573" s="173">
        <f t="shared" si="115"/>
        <v>63.333333333333336</v>
      </c>
      <c r="P573" s="173">
        <f t="shared" si="116"/>
        <v>-14.749999999999993</v>
      </c>
      <c r="Q573" s="177">
        <f t="shared" si="117"/>
        <v>-0.18890074706510132</v>
      </c>
    </row>
    <row r="574" spans="1:18" x14ac:dyDescent="0.2">
      <c r="B574" t="s">
        <v>317</v>
      </c>
      <c r="C574">
        <v>42</v>
      </c>
      <c r="D574">
        <v>43</v>
      </c>
      <c r="E574">
        <v>41</v>
      </c>
      <c r="F574">
        <v>41</v>
      </c>
      <c r="G574">
        <v>38</v>
      </c>
      <c r="H574">
        <v>54</v>
      </c>
      <c r="I574">
        <v>60</v>
      </c>
      <c r="J574">
        <v>53</v>
      </c>
      <c r="K574">
        <v>57</v>
      </c>
      <c r="L574">
        <v>45</v>
      </c>
      <c r="M574">
        <v>48</v>
      </c>
      <c r="N574">
        <v>49</v>
      </c>
      <c r="O574" s="173">
        <f t="shared" si="115"/>
        <v>47.583333333333336</v>
      </c>
      <c r="P574" s="173">
        <f t="shared" si="116"/>
        <v>-15.75</v>
      </c>
      <c r="Q574" s="177">
        <f t="shared" si="117"/>
        <v>-0.24868421052631579</v>
      </c>
    </row>
    <row r="575" spans="1:18" x14ac:dyDescent="0.2">
      <c r="B575" t="s">
        <v>338</v>
      </c>
      <c r="C575">
        <v>49</v>
      </c>
      <c r="D575">
        <v>51</v>
      </c>
      <c r="E575">
        <v>45</v>
      </c>
      <c r="F575">
        <v>54</v>
      </c>
      <c r="G575">
        <v>56</v>
      </c>
      <c r="H575">
        <v>56</v>
      </c>
      <c r="I575">
        <v>53</v>
      </c>
      <c r="J575">
        <v>50</v>
      </c>
      <c r="K575">
        <v>47</v>
      </c>
      <c r="L575">
        <v>44</v>
      </c>
      <c r="M575">
        <v>44</v>
      </c>
      <c r="N575">
        <v>52</v>
      </c>
      <c r="O575" s="173">
        <f t="shared" si="115"/>
        <v>50.083333333333336</v>
      </c>
      <c r="P575" s="173">
        <f>SUM(O575-O574)</f>
        <v>2.5</v>
      </c>
      <c r="Q575" s="177">
        <f>SUM(P575/O574)</f>
        <v>5.2539404553415062E-2</v>
      </c>
    </row>
    <row r="576" spans="1:18" ht="12.75" customHeight="1" x14ac:dyDescent="0.2">
      <c r="B576" t="s">
        <v>411</v>
      </c>
      <c r="C576">
        <v>54</v>
      </c>
      <c r="D576">
        <v>54</v>
      </c>
      <c r="E576">
        <v>51</v>
      </c>
      <c r="F576">
        <v>57</v>
      </c>
      <c r="G576">
        <v>56</v>
      </c>
      <c r="H576">
        <v>64</v>
      </c>
      <c r="I576">
        <v>66</v>
      </c>
      <c r="J576">
        <v>65</v>
      </c>
      <c r="K576">
        <v>65</v>
      </c>
      <c r="L576">
        <v>65</v>
      </c>
      <c r="M576">
        <v>72</v>
      </c>
      <c r="N576">
        <v>63</v>
      </c>
      <c r="O576" s="173">
        <f t="shared" si="115"/>
        <v>61</v>
      </c>
      <c r="P576" s="173">
        <f t="shared" si="116"/>
        <v>10.916666666666664</v>
      </c>
      <c r="Q576" s="177">
        <f t="shared" si="117"/>
        <v>0.21797004991680527</v>
      </c>
    </row>
    <row r="577" spans="1:17" ht="12.75" customHeight="1" x14ac:dyDescent="0.2">
      <c r="B577" t="s">
        <v>445</v>
      </c>
      <c r="C577">
        <v>67</v>
      </c>
      <c r="D577">
        <v>65</v>
      </c>
      <c r="E577">
        <v>65</v>
      </c>
      <c r="F577">
        <v>61</v>
      </c>
      <c r="G577">
        <v>59</v>
      </c>
      <c r="H577">
        <v>58</v>
      </c>
      <c r="I577">
        <v>53</v>
      </c>
      <c r="J577">
        <v>56</v>
      </c>
      <c r="K577">
        <v>57</v>
      </c>
      <c r="L577">
        <v>57</v>
      </c>
      <c r="M577">
        <v>52</v>
      </c>
      <c r="N577">
        <v>58</v>
      </c>
      <c r="O577" s="173">
        <f t="shared" si="115"/>
        <v>59</v>
      </c>
      <c r="P577" s="173">
        <f t="shared" si="116"/>
        <v>-2</v>
      </c>
      <c r="Q577" s="177">
        <f t="shared" si="117"/>
        <v>-3.2786885245901641E-2</v>
      </c>
    </row>
    <row r="578" spans="1:17" x14ac:dyDescent="0.2">
      <c r="B578" t="s">
        <v>510</v>
      </c>
      <c r="C578">
        <v>55</v>
      </c>
      <c r="D578">
        <v>43</v>
      </c>
      <c r="E578">
        <v>45</v>
      </c>
      <c r="F578">
        <v>45</v>
      </c>
      <c r="G578">
        <v>40</v>
      </c>
      <c r="H578">
        <v>45</v>
      </c>
      <c r="I578">
        <v>45</v>
      </c>
      <c r="J578">
        <v>49</v>
      </c>
      <c r="K578">
        <v>53</v>
      </c>
      <c r="L578">
        <v>50</v>
      </c>
      <c r="M578">
        <v>51</v>
      </c>
      <c r="N578">
        <v>50</v>
      </c>
      <c r="O578" s="173">
        <f t="shared" si="115"/>
        <v>47.583333333333336</v>
      </c>
      <c r="P578" s="173">
        <f t="shared" si="116"/>
        <v>-11.416666666666664</v>
      </c>
      <c r="Q578" s="177">
        <f t="shared" si="117"/>
        <v>-0.19350282485875703</v>
      </c>
    </row>
    <row r="579" spans="1:17" x14ac:dyDescent="0.2">
      <c r="B579" t="s">
        <v>546</v>
      </c>
      <c r="C579">
        <v>49</v>
      </c>
      <c r="D579">
        <v>44</v>
      </c>
      <c r="E579">
        <v>44</v>
      </c>
      <c r="F579">
        <v>47</v>
      </c>
      <c r="G579">
        <v>43</v>
      </c>
      <c r="H579">
        <v>42</v>
      </c>
      <c r="I579">
        <v>44</v>
      </c>
      <c r="J579">
        <v>47</v>
      </c>
      <c r="K579">
        <v>38</v>
      </c>
      <c r="L579">
        <v>13</v>
      </c>
      <c r="M579">
        <v>13</v>
      </c>
      <c r="N579">
        <v>11</v>
      </c>
      <c r="O579" s="173">
        <f t="shared" si="115"/>
        <v>36.25</v>
      </c>
      <c r="P579" s="173">
        <f>SUM(O579-O578)</f>
        <v>-11.333333333333336</v>
      </c>
      <c r="Q579" s="177">
        <f>SUM(P579/O578)</f>
        <v>-0.23817863397548164</v>
      </c>
    </row>
    <row r="580" spans="1:17" x14ac:dyDescent="0.2">
      <c r="B580" t="s">
        <v>547</v>
      </c>
      <c r="C580">
        <v>11</v>
      </c>
      <c r="D580">
        <v>11</v>
      </c>
      <c r="E580">
        <v>10</v>
      </c>
      <c r="F580">
        <v>10</v>
      </c>
      <c r="G580">
        <v>11</v>
      </c>
      <c r="H580">
        <v>11</v>
      </c>
      <c r="I580">
        <v>10</v>
      </c>
      <c r="J580">
        <v>8</v>
      </c>
      <c r="K580">
        <v>8</v>
      </c>
      <c r="L580">
        <v>9</v>
      </c>
      <c r="M580">
        <v>58</v>
      </c>
      <c r="N580">
        <v>58</v>
      </c>
      <c r="O580" s="173">
        <f t="shared" si="115"/>
        <v>17.916666666666668</v>
      </c>
      <c r="P580" s="173">
        <f>SUM(O580-O579)</f>
        <v>-18.333333333333332</v>
      </c>
      <c r="Q580" s="177">
        <f>SUM(P580/O579)</f>
        <v>-0.50574712643678155</v>
      </c>
    </row>
    <row r="581" spans="1:17" x14ac:dyDescent="0.2">
      <c r="B581" t="s">
        <v>817</v>
      </c>
      <c r="C581">
        <v>60</v>
      </c>
      <c r="D581">
        <v>55</v>
      </c>
      <c r="E581">
        <v>57</v>
      </c>
      <c r="F581">
        <v>58</v>
      </c>
      <c r="G581">
        <v>55</v>
      </c>
      <c r="H581">
        <v>59</v>
      </c>
      <c r="I581">
        <v>64</v>
      </c>
      <c r="J581">
        <v>57</v>
      </c>
      <c r="K581">
        <v>57</v>
      </c>
      <c r="L581">
        <v>58</v>
      </c>
      <c r="M581">
        <v>61</v>
      </c>
      <c r="N581">
        <v>62</v>
      </c>
      <c r="O581" s="173">
        <f t="shared" si="115"/>
        <v>58.583333333333336</v>
      </c>
      <c r="P581" s="173">
        <f>SUM(O581-O580)</f>
        <v>40.666666666666671</v>
      </c>
      <c r="Q581" s="177">
        <f>SUM(P581/O580)</f>
        <v>2.2697674418604654</v>
      </c>
    </row>
    <row r="582" spans="1:17" x14ac:dyDescent="0.2">
      <c r="B582" t="s">
        <v>818</v>
      </c>
      <c r="C582">
        <v>56</v>
      </c>
      <c r="D582">
        <v>55</v>
      </c>
      <c r="O582" s="173"/>
      <c r="P582" s="173"/>
      <c r="Q582" s="177"/>
    </row>
    <row r="583" spans="1:17" x14ac:dyDescent="0.2">
      <c r="A583" s="576" t="s">
        <v>425</v>
      </c>
      <c r="B583" s="178" t="s">
        <v>392</v>
      </c>
      <c r="C583" s="178" t="s">
        <v>393</v>
      </c>
      <c r="D583" s="178" t="s">
        <v>394</v>
      </c>
      <c r="E583" s="178" t="s">
        <v>395</v>
      </c>
      <c r="F583" s="178" t="s">
        <v>396</v>
      </c>
      <c r="G583" s="178" t="s">
        <v>397</v>
      </c>
      <c r="H583" s="178" t="s">
        <v>398</v>
      </c>
      <c r="I583" s="178" t="s">
        <v>399</v>
      </c>
      <c r="J583" s="178" t="s">
        <v>400</v>
      </c>
      <c r="K583" s="178" t="s">
        <v>401</v>
      </c>
      <c r="L583" s="178" t="s">
        <v>402</v>
      </c>
      <c r="M583" s="178" t="s">
        <v>403</v>
      </c>
      <c r="N583" s="178" t="s">
        <v>404</v>
      </c>
    </row>
    <row r="584" spans="1:17" x14ac:dyDescent="0.2">
      <c r="B584" t="s">
        <v>317</v>
      </c>
      <c r="H584">
        <v>120</v>
      </c>
      <c r="I584">
        <v>96</v>
      </c>
      <c r="J584">
        <v>123</v>
      </c>
      <c r="K584">
        <v>105</v>
      </c>
      <c r="L584">
        <v>122</v>
      </c>
      <c r="M584">
        <v>118</v>
      </c>
      <c r="N584">
        <v>118</v>
      </c>
      <c r="O584" s="173">
        <f>SUM(C584:N584)/7</f>
        <v>114.57142857142857</v>
      </c>
      <c r="P584" s="173"/>
      <c r="Q584" s="177"/>
    </row>
    <row r="585" spans="1:17" x14ac:dyDescent="0.2">
      <c r="B585" t="s">
        <v>338</v>
      </c>
      <c r="C585">
        <v>108</v>
      </c>
      <c r="D585">
        <v>110</v>
      </c>
      <c r="E585">
        <v>105</v>
      </c>
      <c r="F585">
        <v>102</v>
      </c>
      <c r="G585">
        <v>121</v>
      </c>
      <c r="H585">
        <v>133</v>
      </c>
      <c r="I585">
        <v>137</v>
      </c>
      <c r="J585">
        <v>129</v>
      </c>
      <c r="K585">
        <v>137</v>
      </c>
      <c r="L585">
        <v>140</v>
      </c>
      <c r="M585">
        <v>134</v>
      </c>
      <c r="N585">
        <v>128</v>
      </c>
      <c r="O585" s="173">
        <f t="shared" ref="O585:O591" si="118">SUM(C585:N585)/12</f>
        <v>123.66666666666667</v>
      </c>
      <c r="P585" s="173">
        <f t="shared" ref="P585:P590" si="119">SUM(O585-O584)</f>
        <v>9.095238095238102</v>
      </c>
      <c r="Q585" s="177">
        <f t="shared" ref="Q585:Q590" si="120">SUM(P585/O584)</f>
        <v>7.9384871155444778E-2</v>
      </c>
    </row>
    <row r="586" spans="1:17" x14ac:dyDescent="0.2">
      <c r="B586" t="s">
        <v>411</v>
      </c>
      <c r="C586">
        <v>109</v>
      </c>
      <c r="D586">
        <v>111</v>
      </c>
      <c r="E586">
        <v>117</v>
      </c>
      <c r="F586">
        <v>117</v>
      </c>
      <c r="G586">
        <v>122</v>
      </c>
      <c r="H586">
        <v>122</v>
      </c>
      <c r="I586">
        <v>140</v>
      </c>
      <c r="J586">
        <v>138</v>
      </c>
      <c r="K586">
        <v>138</v>
      </c>
      <c r="L586">
        <v>107</v>
      </c>
      <c r="M586">
        <v>109</v>
      </c>
      <c r="N586">
        <v>128</v>
      </c>
      <c r="O586" s="173">
        <f t="shared" si="118"/>
        <v>121.5</v>
      </c>
      <c r="P586" s="173">
        <f t="shared" si="119"/>
        <v>-2.1666666666666714</v>
      </c>
      <c r="Q586" s="177">
        <f t="shared" si="120"/>
        <v>-1.7520215633423219E-2</v>
      </c>
    </row>
    <row r="587" spans="1:17" x14ac:dyDescent="0.2">
      <c r="B587" t="s">
        <v>445</v>
      </c>
      <c r="C587">
        <v>109</v>
      </c>
      <c r="D587">
        <v>116</v>
      </c>
      <c r="E587">
        <v>125</v>
      </c>
      <c r="F587">
        <v>113</v>
      </c>
      <c r="G587">
        <v>99</v>
      </c>
      <c r="H587">
        <v>98</v>
      </c>
      <c r="I587">
        <v>107</v>
      </c>
      <c r="J587">
        <v>113</v>
      </c>
      <c r="K587">
        <v>118</v>
      </c>
      <c r="L587">
        <v>105</v>
      </c>
      <c r="M587">
        <v>107</v>
      </c>
      <c r="N587">
        <v>110</v>
      </c>
      <c r="O587" s="173">
        <f t="shared" si="118"/>
        <v>110</v>
      </c>
      <c r="P587" s="173">
        <f t="shared" si="119"/>
        <v>-11.5</v>
      </c>
      <c r="Q587" s="177">
        <f t="shared" si="120"/>
        <v>-9.4650205761316872E-2</v>
      </c>
    </row>
    <row r="588" spans="1:17" x14ac:dyDescent="0.2">
      <c r="B588" t="s">
        <v>510</v>
      </c>
      <c r="C588">
        <v>111</v>
      </c>
      <c r="D588">
        <v>102</v>
      </c>
      <c r="E588">
        <v>122</v>
      </c>
      <c r="F588">
        <v>144</v>
      </c>
      <c r="G588">
        <v>154</v>
      </c>
      <c r="H588">
        <v>164</v>
      </c>
      <c r="I588">
        <v>164</v>
      </c>
      <c r="J588">
        <v>169</v>
      </c>
      <c r="K588">
        <v>164</v>
      </c>
      <c r="L588">
        <v>165</v>
      </c>
      <c r="M588">
        <v>161</v>
      </c>
      <c r="N588">
        <v>142</v>
      </c>
      <c r="O588" s="173">
        <f t="shared" si="118"/>
        <v>146.83333333333334</v>
      </c>
      <c r="P588" s="173">
        <f t="shared" si="119"/>
        <v>36.833333333333343</v>
      </c>
      <c r="Q588" s="177">
        <f t="shared" si="120"/>
        <v>0.33484848484848495</v>
      </c>
    </row>
    <row r="589" spans="1:17" x14ac:dyDescent="0.2">
      <c r="B589" t="s">
        <v>546</v>
      </c>
      <c r="C589">
        <v>158</v>
      </c>
      <c r="D589">
        <v>164</v>
      </c>
      <c r="E589">
        <v>169</v>
      </c>
      <c r="F589">
        <v>191</v>
      </c>
      <c r="G589">
        <v>185</v>
      </c>
      <c r="H589">
        <v>192</v>
      </c>
      <c r="I589">
        <v>181</v>
      </c>
      <c r="J589">
        <v>162</v>
      </c>
      <c r="K589">
        <v>140</v>
      </c>
      <c r="L589">
        <v>146</v>
      </c>
      <c r="M589">
        <v>154</v>
      </c>
      <c r="N589">
        <v>150</v>
      </c>
      <c r="O589" s="173">
        <f t="shared" si="118"/>
        <v>166</v>
      </c>
      <c r="P589" s="173">
        <f t="shared" si="119"/>
        <v>19.166666666666657</v>
      </c>
      <c r="Q589" s="177">
        <f t="shared" si="120"/>
        <v>0.13053348467650391</v>
      </c>
    </row>
    <row r="590" spans="1:17" x14ac:dyDescent="0.2">
      <c r="B590" t="s">
        <v>547</v>
      </c>
      <c r="C590">
        <v>135</v>
      </c>
      <c r="D590">
        <v>124</v>
      </c>
      <c r="E590">
        <v>138</v>
      </c>
      <c r="F590">
        <v>129</v>
      </c>
      <c r="G590">
        <v>115</v>
      </c>
      <c r="H590">
        <v>99</v>
      </c>
      <c r="I590">
        <v>91</v>
      </c>
      <c r="J590">
        <v>84</v>
      </c>
      <c r="K590">
        <v>90</v>
      </c>
      <c r="L590">
        <v>104</v>
      </c>
      <c r="M590">
        <v>95</v>
      </c>
      <c r="N590">
        <v>97</v>
      </c>
      <c r="O590" s="173">
        <f t="shared" si="118"/>
        <v>108.41666666666667</v>
      </c>
      <c r="P590" s="173">
        <f t="shared" si="119"/>
        <v>-57.583333333333329</v>
      </c>
      <c r="Q590" s="177">
        <f t="shared" si="120"/>
        <v>-0.3468875502008032</v>
      </c>
    </row>
    <row r="591" spans="1:17" x14ac:dyDescent="0.2">
      <c r="B591" t="s">
        <v>817</v>
      </c>
      <c r="C591">
        <v>101</v>
      </c>
      <c r="D591">
        <v>104</v>
      </c>
      <c r="E591">
        <v>121</v>
      </c>
      <c r="F591">
        <v>124</v>
      </c>
      <c r="G591">
        <v>126</v>
      </c>
      <c r="H591">
        <v>125</v>
      </c>
      <c r="I591">
        <v>129</v>
      </c>
      <c r="J591">
        <v>116</v>
      </c>
      <c r="K591">
        <v>116</v>
      </c>
      <c r="L591">
        <v>113</v>
      </c>
      <c r="M591">
        <v>120</v>
      </c>
      <c r="N591">
        <v>112</v>
      </c>
      <c r="O591" s="173">
        <f t="shared" si="118"/>
        <v>117.25</v>
      </c>
      <c r="P591" s="173">
        <f>SUM(O591-O590)</f>
        <v>8.8333333333333286</v>
      </c>
      <c r="Q591" s="177">
        <f>SUM(P591/O590)</f>
        <v>8.1475787855495724E-2</v>
      </c>
    </row>
    <row r="592" spans="1:17" x14ac:dyDescent="0.2">
      <c r="B592" t="s">
        <v>818</v>
      </c>
      <c r="C592">
        <v>96</v>
      </c>
      <c r="D592">
        <v>101</v>
      </c>
      <c r="O592" s="173"/>
      <c r="P592" s="173"/>
      <c r="Q592" s="177"/>
    </row>
    <row r="593" spans="1:18" x14ac:dyDescent="0.2">
      <c r="A593" s="520"/>
      <c r="B593" s="520"/>
      <c r="C593" s="520"/>
      <c r="D593" s="520"/>
      <c r="E593" s="520"/>
      <c r="F593" s="520"/>
      <c r="G593" s="520"/>
      <c r="H593" s="520"/>
      <c r="I593" s="520"/>
      <c r="J593" s="520"/>
      <c r="K593" s="520"/>
      <c r="L593" s="520"/>
      <c r="M593" s="520"/>
      <c r="N593" s="520"/>
      <c r="O593" s="520"/>
      <c r="P593" s="520"/>
      <c r="Q593" s="520"/>
      <c r="R593" s="520"/>
    </row>
    <row r="594" spans="1:18" ht="38.25" x14ac:dyDescent="0.2">
      <c r="A594" s="175" t="s">
        <v>426</v>
      </c>
      <c r="B594" s="875" t="s">
        <v>392</v>
      </c>
      <c r="C594" s="876" t="s">
        <v>393</v>
      </c>
      <c r="D594" s="876" t="s">
        <v>394</v>
      </c>
      <c r="E594" s="876" t="s">
        <v>395</v>
      </c>
      <c r="F594" s="876" t="s">
        <v>396</v>
      </c>
      <c r="G594" s="876" t="s">
        <v>397</v>
      </c>
      <c r="H594" s="876" t="s">
        <v>398</v>
      </c>
      <c r="I594" s="876" t="s">
        <v>399</v>
      </c>
      <c r="J594" s="876" t="s">
        <v>400</v>
      </c>
      <c r="K594" s="876" t="s">
        <v>401</v>
      </c>
      <c r="L594" s="876" t="s">
        <v>402</v>
      </c>
      <c r="M594" s="876" t="s">
        <v>403</v>
      </c>
      <c r="N594" s="876" t="s">
        <v>404</v>
      </c>
      <c r="O594" s="175" t="s">
        <v>405</v>
      </c>
      <c r="P594" s="877" t="s">
        <v>406</v>
      </c>
      <c r="Q594" s="877" t="s">
        <v>407</v>
      </c>
      <c r="R594" s="877" t="s">
        <v>427</v>
      </c>
    </row>
    <row r="595" spans="1:18" x14ac:dyDescent="0.2">
      <c r="A595" s="878" t="s">
        <v>444</v>
      </c>
      <c r="B595" s="879" t="s">
        <v>408</v>
      </c>
      <c r="C595" s="879">
        <f t="shared" ref="C595:N607" si="121">SUM(C318,C338,C359,C379,C400,C420,C441,C461,C482,C502,C523,C543,C564)</f>
        <v>4476</v>
      </c>
      <c r="D595" s="879">
        <f t="shared" si="121"/>
        <v>4483</v>
      </c>
      <c r="E595" s="879">
        <f t="shared" si="121"/>
        <v>4465</v>
      </c>
      <c r="F595" s="879">
        <f t="shared" si="121"/>
        <v>4430</v>
      </c>
      <c r="G595" s="879">
        <f t="shared" si="121"/>
        <v>4464</v>
      </c>
      <c r="H595" s="879">
        <f t="shared" si="121"/>
        <v>4489</v>
      </c>
      <c r="I595" s="879">
        <f t="shared" si="121"/>
        <v>4483</v>
      </c>
      <c r="J595" s="879">
        <f t="shared" si="121"/>
        <v>4518</v>
      </c>
      <c r="K595" s="879">
        <f t="shared" si="121"/>
        <v>4524</v>
      </c>
      <c r="L595" s="879">
        <f t="shared" si="121"/>
        <v>4527</v>
      </c>
      <c r="M595" s="879">
        <f t="shared" si="121"/>
        <v>4496</v>
      </c>
      <c r="N595" s="879">
        <f t="shared" si="121"/>
        <v>4561</v>
      </c>
      <c r="O595" s="879">
        <f t="shared" ref="O595:O603" si="122">SUM(C595:N595)/12</f>
        <v>4493</v>
      </c>
      <c r="P595" s="879"/>
      <c r="Q595" s="879"/>
      <c r="R595" s="879"/>
    </row>
    <row r="596" spans="1:18" x14ac:dyDescent="0.2">
      <c r="A596" s="879"/>
      <c r="B596" s="879" t="s">
        <v>409</v>
      </c>
      <c r="C596" s="879">
        <f t="shared" si="121"/>
        <v>4520</v>
      </c>
      <c r="D596" s="879">
        <f t="shared" si="121"/>
        <v>4564</v>
      </c>
      <c r="E596" s="879">
        <f t="shared" si="121"/>
        <v>4554</v>
      </c>
      <c r="F596" s="879">
        <f t="shared" si="121"/>
        <v>4570</v>
      </c>
      <c r="G596" s="879">
        <f t="shared" si="121"/>
        <v>4539</v>
      </c>
      <c r="H596" s="879">
        <f t="shared" si="121"/>
        <v>4559</v>
      </c>
      <c r="I596" s="879">
        <f t="shared" si="121"/>
        <v>4522</v>
      </c>
      <c r="J596" s="879">
        <f t="shared" si="121"/>
        <v>4548</v>
      </c>
      <c r="K596" s="879">
        <f t="shared" si="121"/>
        <v>4510</v>
      </c>
      <c r="L596" s="879">
        <f t="shared" si="121"/>
        <v>4548</v>
      </c>
      <c r="M596" s="879">
        <f t="shared" si="121"/>
        <v>4537</v>
      </c>
      <c r="N596" s="879">
        <f t="shared" si="121"/>
        <v>4525</v>
      </c>
      <c r="O596" s="880">
        <f t="shared" si="122"/>
        <v>4541.333333333333</v>
      </c>
      <c r="P596" s="880">
        <f t="shared" ref="P596:P602" si="123">SUM(O596-N595)</f>
        <v>-19.66666666666697</v>
      </c>
      <c r="Q596" s="881">
        <f t="shared" ref="Q596:Q604" si="124">SUM(P596/O595)</f>
        <v>-4.3771793159730621E-3</v>
      </c>
      <c r="R596" s="879"/>
    </row>
    <row r="597" spans="1:18" x14ac:dyDescent="0.2">
      <c r="A597" s="879"/>
      <c r="B597" s="879" t="s">
        <v>410</v>
      </c>
      <c r="C597" s="879">
        <f t="shared" si="121"/>
        <v>4558</v>
      </c>
      <c r="D597" s="879">
        <f t="shared" si="121"/>
        <v>4615</v>
      </c>
      <c r="E597" s="879">
        <f t="shared" si="121"/>
        <v>4607</v>
      </c>
      <c r="F597" s="879">
        <f t="shared" si="121"/>
        <v>4575</v>
      </c>
      <c r="G597" s="879">
        <f t="shared" si="121"/>
        <v>4575</v>
      </c>
      <c r="H597" s="879">
        <f t="shared" si="121"/>
        <v>4624</v>
      </c>
      <c r="I597" s="879">
        <f t="shared" si="121"/>
        <v>4604</v>
      </c>
      <c r="J597" s="879">
        <f t="shared" si="121"/>
        <v>4666</v>
      </c>
      <c r="K597" s="879">
        <f t="shared" si="121"/>
        <v>4736</v>
      </c>
      <c r="L597" s="879">
        <f t="shared" si="121"/>
        <v>4774</v>
      </c>
      <c r="M597" s="879">
        <f t="shared" si="121"/>
        <v>4832</v>
      </c>
      <c r="N597" s="879">
        <f t="shared" si="121"/>
        <v>4872</v>
      </c>
      <c r="O597" s="880">
        <f t="shared" si="122"/>
        <v>4669.833333333333</v>
      </c>
      <c r="P597" s="880">
        <f t="shared" si="123"/>
        <v>144.83333333333303</v>
      </c>
      <c r="Q597" s="881">
        <f t="shared" si="124"/>
        <v>3.1892248972401581E-2</v>
      </c>
      <c r="R597" s="881">
        <f>SUM(Q596:Q597)</f>
        <v>2.7515069656428519E-2</v>
      </c>
    </row>
    <row r="598" spans="1:18" x14ac:dyDescent="0.2">
      <c r="A598" s="879"/>
      <c r="B598" s="879" t="s">
        <v>244</v>
      </c>
      <c r="C598" s="879">
        <f t="shared" si="121"/>
        <v>4823</v>
      </c>
      <c r="D598" s="879">
        <f t="shared" si="121"/>
        <v>4949</v>
      </c>
      <c r="E598" s="879">
        <f t="shared" si="121"/>
        <v>4738</v>
      </c>
      <c r="F598" s="879">
        <f t="shared" si="121"/>
        <v>4753</v>
      </c>
      <c r="G598" s="879">
        <f t="shared" si="121"/>
        <v>4796</v>
      </c>
      <c r="H598" s="879">
        <f t="shared" si="121"/>
        <v>4795</v>
      </c>
      <c r="I598" s="879">
        <f t="shared" si="121"/>
        <v>4787</v>
      </c>
      <c r="J598" s="879">
        <f t="shared" si="121"/>
        <v>4789</v>
      </c>
      <c r="K598" s="879">
        <f t="shared" si="121"/>
        <v>4682</v>
      </c>
      <c r="L598" s="879">
        <f t="shared" si="121"/>
        <v>4694</v>
      </c>
      <c r="M598" s="879">
        <f t="shared" si="121"/>
        <v>4685</v>
      </c>
      <c r="N598" s="879">
        <f t="shared" si="121"/>
        <v>4723</v>
      </c>
      <c r="O598" s="880">
        <f t="shared" si="122"/>
        <v>4767.833333333333</v>
      </c>
      <c r="P598" s="880">
        <f t="shared" si="123"/>
        <v>-104.16666666666697</v>
      </c>
      <c r="Q598" s="881">
        <f t="shared" si="124"/>
        <v>-2.2306292158892245E-2</v>
      </c>
      <c r="R598" s="881">
        <f>SUM(Q596:Q598)</f>
        <v>5.2087774975362738E-3</v>
      </c>
    </row>
    <row r="599" spans="1:18" x14ac:dyDescent="0.2">
      <c r="A599" s="879"/>
      <c r="B599" s="879" t="s">
        <v>243</v>
      </c>
      <c r="C599" s="879">
        <f t="shared" si="121"/>
        <v>4934</v>
      </c>
      <c r="D599" s="879">
        <f t="shared" si="121"/>
        <v>4681</v>
      </c>
      <c r="E599" s="879">
        <f t="shared" si="121"/>
        <v>4701</v>
      </c>
      <c r="F599" s="879">
        <f t="shared" si="121"/>
        <v>4713</v>
      </c>
      <c r="G599" s="879">
        <f t="shared" si="121"/>
        <v>4644</v>
      </c>
      <c r="H599" s="879">
        <f t="shared" si="121"/>
        <v>4760</v>
      </c>
      <c r="I599" s="879">
        <f t="shared" si="121"/>
        <v>4760</v>
      </c>
      <c r="J599" s="879">
        <f t="shared" si="121"/>
        <v>4753</v>
      </c>
      <c r="K599" s="879">
        <f t="shared" si="121"/>
        <v>4744</v>
      </c>
      <c r="L599" s="879">
        <f t="shared" si="121"/>
        <v>4764</v>
      </c>
      <c r="M599" s="879">
        <f t="shared" si="121"/>
        <v>4810</v>
      </c>
      <c r="N599" s="879">
        <f t="shared" si="121"/>
        <v>4804</v>
      </c>
      <c r="O599" s="880">
        <f t="shared" si="122"/>
        <v>4755.666666666667</v>
      </c>
      <c r="P599" s="880">
        <f t="shared" si="123"/>
        <v>32.66666666666697</v>
      </c>
      <c r="Q599" s="881">
        <f t="shared" si="124"/>
        <v>6.8514699199497264E-3</v>
      </c>
      <c r="R599" s="881">
        <f>SUM(Q596:Q599)</f>
        <v>1.2060247417486E-2</v>
      </c>
    </row>
    <row r="600" spans="1:18" x14ac:dyDescent="0.2">
      <c r="A600" s="879"/>
      <c r="B600" s="879" t="s">
        <v>264</v>
      </c>
      <c r="C600" s="879">
        <f t="shared" si="121"/>
        <v>4780</v>
      </c>
      <c r="D600" s="879">
        <f t="shared" si="121"/>
        <v>4815</v>
      </c>
      <c r="E600" s="879">
        <f t="shared" si="121"/>
        <v>4843</v>
      </c>
      <c r="F600" s="879">
        <f t="shared" si="121"/>
        <v>4851</v>
      </c>
      <c r="G600" s="879">
        <f t="shared" si="121"/>
        <v>4883</v>
      </c>
      <c r="H600" s="879">
        <f t="shared" si="121"/>
        <v>4792</v>
      </c>
      <c r="I600" s="879">
        <f t="shared" si="121"/>
        <v>4842</v>
      </c>
      <c r="J600" s="879">
        <f t="shared" si="121"/>
        <v>4977</v>
      </c>
      <c r="K600" s="879">
        <f t="shared" si="121"/>
        <v>4949</v>
      </c>
      <c r="L600" s="879">
        <f t="shared" si="121"/>
        <v>4956</v>
      </c>
      <c r="M600" s="879">
        <f t="shared" si="121"/>
        <v>5017</v>
      </c>
      <c r="N600" s="879">
        <f t="shared" si="121"/>
        <v>4991</v>
      </c>
      <c r="O600" s="880">
        <f t="shared" si="122"/>
        <v>4891.333333333333</v>
      </c>
      <c r="P600" s="880">
        <f t="shared" si="123"/>
        <v>87.33333333333303</v>
      </c>
      <c r="Q600" s="881">
        <f t="shared" si="124"/>
        <v>1.8364056914558006E-2</v>
      </c>
      <c r="R600" s="881">
        <f>SUM(Q596:Q600)</f>
        <v>3.0424304332044006E-2</v>
      </c>
    </row>
    <row r="601" spans="1:18" x14ac:dyDescent="0.2">
      <c r="A601" s="879"/>
      <c r="B601" s="879" t="s">
        <v>274</v>
      </c>
      <c r="C601" s="879">
        <f t="shared" si="121"/>
        <v>5030</v>
      </c>
      <c r="D601" s="879">
        <f t="shared" si="121"/>
        <v>5070</v>
      </c>
      <c r="E601" s="879">
        <f t="shared" si="121"/>
        <v>5041</v>
      </c>
      <c r="F601" s="879">
        <f t="shared" si="121"/>
        <v>5085</v>
      </c>
      <c r="G601" s="879">
        <f t="shared" si="121"/>
        <v>5067</v>
      </c>
      <c r="H601" s="879">
        <f t="shared" si="121"/>
        <v>5102</v>
      </c>
      <c r="I601" s="879">
        <f t="shared" si="121"/>
        <v>5086</v>
      </c>
      <c r="J601" s="879">
        <f t="shared" si="121"/>
        <v>5164</v>
      </c>
      <c r="K601" s="879">
        <f t="shared" si="121"/>
        <v>5141</v>
      </c>
      <c r="L601" s="879">
        <f t="shared" si="121"/>
        <v>5196</v>
      </c>
      <c r="M601" s="879">
        <f t="shared" si="121"/>
        <v>5262</v>
      </c>
      <c r="N601" s="879">
        <f t="shared" si="121"/>
        <v>5272</v>
      </c>
      <c r="O601" s="880">
        <f t="shared" si="122"/>
        <v>5126.333333333333</v>
      </c>
      <c r="P601" s="880">
        <f t="shared" si="123"/>
        <v>135.33333333333303</v>
      </c>
      <c r="Q601" s="881">
        <f t="shared" si="124"/>
        <v>2.7667984189723261E-2</v>
      </c>
      <c r="R601" s="881">
        <f>SUM(Q596:Q601)</f>
        <v>5.8092288521767267E-2</v>
      </c>
    </row>
    <row r="602" spans="1:18" x14ac:dyDescent="0.2">
      <c r="A602" s="879"/>
      <c r="B602" s="879" t="s">
        <v>277</v>
      </c>
      <c r="C602" s="879">
        <f t="shared" si="121"/>
        <v>5300</v>
      </c>
      <c r="D602" s="879">
        <f t="shared" si="121"/>
        <v>5270</v>
      </c>
      <c r="E602" s="879">
        <f t="shared" si="121"/>
        <v>5214</v>
      </c>
      <c r="F602" s="879">
        <f t="shared" si="121"/>
        <v>5280</v>
      </c>
      <c r="G602" s="879">
        <f t="shared" si="121"/>
        <v>5289</v>
      </c>
      <c r="H602" s="879">
        <f t="shared" si="121"/>
        <v>5344</v>
      </c>
      <c r="I602" s="879">
        <f t="shared" si="121"/>
        <v>5315</v>
      </c>
      <c r="J602" s="879">
        <f t="shared" si="121"/>
        <v>5326</v>
      </c>
      <c r="K602" s="879">
        <f t="shared" si="121"/>
        <v>5260</v>
      </c>
      <c r="L602" s="879">
        <f t="shared" si="121"/>
        <v>5801</v>
      </c>
      <c r="M602" s="879">
        <f t="shared" si="121"/>
        <v>5765</v>
      </c>
      <c r="N602" s="879">
        <f t="shared" si="121"/>
        <v>5296</v>
      </c>
      <c r="O602" s="880">
        <f t="shared" si="122"/>
        <v>5371.666666666667</v>
      </c>
      <c r="P602" s="880">
        <f t="shared" si="123"/>
        <v>99.66666666666697</v>
      </c>
      <c r="Q602" s="881">
        <f t="shared" si="124"/>
        <v>1.9442096365173349E-2</v>
      </c>
      <c r="R602" s="881">
        <f t="shared" ref="R602:R612" si="125">SUM(Q596:Q602)</f>
        <v>7.7534384886940616E-2</v>
      </c>
    </row>
    <row r="603" spans="1:18" x14ac:dyDescent="0.2">
      <c r="A603" s="879"/>
      <c r="B603" s="879" t="s">
        <v>278</v>
      </c>
      <c r="C603" s="879">
        <f t="shared" si="121"/>
        <v>5324</v>
      </c>
      <c r="D603" s="879">
        <f t="shared" si="121"/>
        <v>5413</v>
      </c>
      <c r="E603" s="879">
        <f t="shared" si="121"/>
        <v>5738</v>
      </c>
      <c r="F603" s="879">
        <f t="shared" si="121"/>
        <v>5475</v>
      </c>
      <c r="G603" s="879">
        <f t="shared" si="121"/>
        <v>5231</v>
      </c>
      <c r="H603" s="879">
        <f t="shared" si="121"/>
        <v>5265</v>
      </c>
      <c r="I603" s="879">
        <f t="shared" si="121"/>
        <v>5442</v>
      </c>
      <c r="J603" s="879">
        <f t="shared" si="121"/>
        <v>5402</v>
      </c>
      <c r="K603" s="879">
        <f t="shared" si="121"/>
        <v>5364</v>
      </c>
      <c r="L603" s="879">
        <f t="shared" si="121"/>
        <v>5409</v>
      </c>
      <c r="M603" s="879">
        <f t="shared" si="121"/>
        <v>5790</v>
      </c>
      <c r="N603" s="879">
        <f t="shared" si="121"/>
        <v>5890</v>
      </c>
      <c r="O603" s="880">
        <f t="shared" si="122"/>
        <v>5478.583333333333</v>
      </c>
      <c r="P603" s="880">
        <f t="shared" ref="P603:P608" si="126">SUM(O603-O602)</f>
        <v>106.91666666666606</v>
      </c>
      <c r="Q603" s="881">
        <f t="shared" si="124"/>
        <v>1.9903816320198459E-2</v>
      </c>
      <c r="R603" s="881">
        <f t="shared" si="125"/>
        <v>0.10181538052311213</v>
      </c>
    </row>
    <row r="604" spans="1:18" x14ac:dyDescent="0.2">
      <c r="A604" s="879"/>
      <c r="B604" s="879" t="s">
        <v>279</v>
      </c>
      <c r="C604" s="879">
        <f t="shared" si="121"/>
        <v>5636</v>
      </c>
      <c r="D604" s="879">
        <f t="shared" si="121"/>
        <v>5620</v>
      </c>
      <c r="E604" s="879">
        <f t="shared" si="121"/>
        <v>5623</v>
      </c>
      <c r="F604" s="879">
        <f t="shared" si="121"/>
        <v>5600</v>
      </c>
      <c r="G604" s="879">
        <f t="shared" si="121"/>
        <v>5642</v>
      </c>
      <c r="H604" s="879">
        <f t="shared" si="121"/>
        <v>5678</v>
      </c>
      <c r="I604" s="879">
        <f t="shared" si="121"/>
        <v>5668</v>
      </c>
      <c r="J604" s="879">
        <f t="shared" si="121"/>
        <v>5682</v>
      </c>
      <c r="K604" s="879">
        <f t="shared" si="121"/>
        <v>5707</v>
      </c>
      <c r="L604" s="879">
        <f t="shared" si="121"/>
        <v>5751</v>
      </c>
      <c r="M604" s="879">
        <f t="shared" si="121"/>
        <v>5791</v>
      </c>
      <c r="N604" s="879">
        <f t="shared" si="121"/>
        <v>5813</v>
      </c>
      <c r="O604" s="880">
        <f>SUM(C604:N604)/12</f>
        <v>5684.25</v>
      </c>
      <c r="P604" s="880">
        <f t="shared" si="126"/>
        <v>205.66666666666697</v>
      </c>
      <c r="Q604" s="881">
        <f t="shared" si="124"/>
        <v>3.7540118339595148E-2</v>
      </c>
      <c r="R604" s="881">
        <f t="shared" si="125"/>
        <v>0.1074632498903057</v>
      </c>
    </row>
    <row r="605" spans="1:18" x14ac:dyDescent="0.2">
      <c r="A605" s="879"/>
      <c r="B605" s="879" t="s">
        <v>317</v>
      </c>
      <c r="C605" s="879">
        <f t="shared" si="121"/>
        <v>5792</v>
      </c>
      <c r="D605" s="879">
        <f t="shared" si="121"/>
        <v>5837</v>
      </c>
      <c r="E605" s="879">
        <f t="shared" si="121"/>
        <v>5783</v>
      </c>
      <c r="F605" s="879">
        <f t="shared" si="121"/>
        <v>5776</v>
      </c>
      <c r="G605" s="879">
        <f t="shared" si="121"/>
        <v>5691</v>
      </c>
      <c r="H605" s="879">
        <f t="shared" si="121"/>
        <v>5868</v>
      </c>
      <c r="I605" s="879">
        <f t="shared" si="121"/>
        <v>5812</v>
      </c>
      <c r="J605" s="879">
        <f t="shared" si="121"/>
        <v>5855</v>
      </c>
      <c r="K605" s="879">
        <f t="shared" si="121"/>
        <v>5867</v>
      </c>
      <c r="L605" s="879">
        <f t="shared" si="121"/>
        <v>5881</v>
      </c>
      <c r="M605" s="879">
        <f t="shared" si="121"/>
        <v>5824</v>
      </c>
      <c r="N605" s="879">
        <f t="shared" si="121"/>
        <v>5846</v>
      </c>
      <c r="O605" s="880">
        <f>SUM(C605:N605)/12</f>
        <v>5819.333333333333</v>
      </c>
      <c r="P605" s="880">
        <f t="shared" si="126"/>
        <v>135.08333333333303</v>
      </c>
      <c r="Q605" s="881">
        <f t="shared" ref="Q605:Q610" si="127">SUM(P605/O604)</f>
        <v>2.3764495462608618E-2</v>
      </c>
      <c r="R605" s="881">
        <f t="shared" si="125"/>
        <v>0.15353403751180655</v>
      </c>
    </row>
    <row r="606" spans="1:18" x14ac:dyDescent="0.2">
      <c r="A606" s="879"/>
      <c r="B606" s="879" t="s">
        <v>338</v>
      </c>
      <c r="C606" s="879">
        <f t="shared" si="121"/>
        <v>5909</v>
      </c>
      <c r="D606" s="879">
        <f t="shared" si="121"/>
        <v>5921</v>
      </c>
      <c r="E606" s="879">
        <f t="shared" si="121"/>
        <v>5881</v>
      </c>
      <c r="F606" s="879">
        <f t="shared" si="121"/>
        <v>5938</v>
      </c>
      <c r="G606" s="879">
        <f t="shared" si="121"/>
        <v>5963</v>
      </c>
      <c r="H606" s="879">
        <f t="shared" si="121"/>
        <v>5986</v>
      </c>
      <c r="I606" s="879">
        <f t="shared" si="121"/>
        <v>5927</v>
      </c>
      <c r="J606" s="879">
        <f t="shared" si="121"/>
        <v>5974</v>
      </c>
      <c r="K606" s="879">
        <f t="shared" si="121"/>
        <v>6009</v>
      </c>
      <c r="L606" s="879">
        <f t="shared" si="121"/>
        <v>6021</v>
      </c>
      <c r="M606" s="879">
        <f t="shared" si="121"/>
        <v>5978</v>
      </c>
      <c r="N606" s="879">
        <f t="shared" si="121"/>
        <v>5883</v>
      </c>
      <c r="O606" s="880">
        <f>SUM(C606:N606)/12</f>
        <v>5949.166666666667</v>
      </c>
      <c r="P606" s="880">
        <f t="shared" si="126"/>
        <v>129.83333333333394</v>
      </c>
      <c r="Q606" s="881">
        <f t="shared" si="127"/>
        <v>2.2310688509565919E-2</v>
      </c>
      <c r="R606" s="881">
        <f t="shared" si="125"/>
        <v>0.16899325610142274</v>
      </c>
    </row>
    <row r="607" spans="1:18" x14ac:dyDescent="0.2">
      <c r="A607" s="879"/>
      <c r="B607" s="879" t="s">
        <v>428</v>
      </c>
      <c r="C607" s="879">
        <f t="shared" si="121"/>
        <v>5999</v>
      </c>
      <c r="D607" s="879">
        <f t="shared" si="121"/>
        <v>6010</v>
      </c>
      <c r="E607" s="879">
        <f t="shared" si="121"/>
        <v>6006</v>
      </c>
      <c r="F607" s="879">
        <f t="shared" si="121"/>
        <v>6022</v>
      </c>
      <c r="G607" s="879">
        <f t="shared" si="121"/>
        <v>6027</v>
      </c>
      <c r="H607" s="879">
        <f t="shared" si="121"/>
        <v>6072</v>
      </c>
      <c r="I607" s="879">
        <f t="shared" si="121"/>
        <v>6094</v>
      </c>
      <c r="J607" s="879">
        <f t="shared" si="121"/>
        <v>6090</v>
      </c>
      <c r="K607" s="879">
        <f t="shared" si="121"/>
        <v>6044</v>
      </c>
      <c r="L607" s="879">
        <f t="shared" si="121"/>
        <v>6053</v>
      </c>
      <c r="M607" s="879">
        <f t="shared" si="121"/>
        <v>6097</v>
      </c>
      <c r="N607" s="879">
        <f t="shared" si="121"/>
        <v>6122</v>
      </c>
      <c r="O607" s="880">
        <f>SUM(C607:N607)/12</f>
        <v>6053</v>
      </c>
      <c r="P607" s="880">
        <f t="shared" si="126"/>
        <v>103.83333333333303</v>
      </c>
      <c r="Q607" s="881">
        <f t="shared" si="127"/>
        <v>1.7453424849418635E-2</v>
      </c>
      <c r="R607" s="881">
        <f t="shared" si="125"/>
        <v>0.16808262403628338</v>
      </c>
    </row>
    <row r="608" spans="1:18" x14ac:dyDescent="0.2">
      <c r="A608" s="879"/>
      <c r="B608" s="879" t="s">
        <v>445</v>
      </c>
      <c r="C608" s="879">
        <f t="shared" ref="C608:O613" si="128">SUM(C331,C351,C372,C392,C413,C433,C454,C474,C495,C515,C536,C556,C577,C587)</f>
        <v>6219</v>
      </c>
      <c r="D608" s="879">
        <f t="shared" si="128"/>
        <v>6195</v>
      </c>
      <c r="E608" s="879">
        <f t="shared" si="128"/>
        <v>6211</v>
      </c>
      <c r="F608" s="879">
        <f t="shared" si="128"/>
        <v>6268</v>
      </c>
      <c r="G608" s="879">
        <f t="shared" si="128"/>
        <v>6289</v>
      </c>
      <c r="H608" s="879">
        <f t="shared" si="128"/>
        <v>6246</v>
      </c>
      <c r="I608" s="879">
        <f t="shared" si="128"/>
        <v>6283</v>
      </c>
      <c r="J608" s="879">
        <f t="shared" si="128"/>
        <v>6294</v>
      </c>
      <c r="K608" s="879">
        <f t="shared" si="128"/>
        <v>6169</v>
      </c>
      <c r="L608" s="879">
        <f t="shared" si="128"/>
        <v>6109</v>
      </c>
      <c r="M608" s="879">
        <f t="shared" si="128"/>
        <v>6183</v>
      </c>
      <c r="N608" s="879">
        <f t="shared" si="128"/>
        <v>6197</v>
      </c>
      <c r="O608" s="880">
        <f t="shared" si="128"/>
        <v>6221.9166666666652</v>
      </c>
      <c r="P608" s="880">
        <f t="shared" si="126"/>
        <v>168.91666666666515</v>
      </c>
      <c r="Q608" s="881">
        <f t="shared" si="127"/>
        <v>2.7906272371826392E-2</v>
      </c>
      <c r="R608" s="881">
        <f t="shared" si="125"/>
        <v>0.16832091221838652</v>
      </c>
    </row>
    <row r="609" spans="1:18" x14ac:dyDescent="0.2">
      <c r="A609" s="879"/>
      <c r="B609" s="879" t="s">
        <v>510</v>
      </c>
      <c r="C609" s="879">
        <f t="shared" si="128"/>
        <v>6254</v>
      </c>
      <c r="D609" s="879">
        <f t="shared" si="128"/>
        <v>6195</v>
      </c>
      <c r="E609" s="879">
        <f t="shared" si="128"/>
        <v>6259</v>
      </c>
      <c r="F609" s="879">
        <f t="shared" si="128"/>
        <v>6210</v>
      </c>
      <c r="G609" s="879">
        <f t="shared" si="128"/>
        <v>6164</v>
      </c>
      <c r="H609" s="879">
        <f t="shared" si="128"/>
        <v>6214</v>
      </c>
      <c r="I609" s="879">
        <f t="shared" si="128"/>
        <v>6176</v>
      </c>
      <c r="J609" s="879">
        <f t="shared" si="128"/>
        <v>6172</v>
      </c>
      <c r="K609" s="879">
        <f t="shared" si="128"/>
        <v>6086</v>
      </c>
      <c r="L609" s="879">
        <f t="shared" si="128"/>
        <v>6077</v>
      </c>
      <c r="M609" s="879">
        <f t="shared" si="128"/>
        <v>6086</v>
      </c>
      <c r="N609" s="879">
        <f t="shared" si="128"/>
        <v>6159</v>
      </c>
      <c r="O609" s="879">
        <f t="shared" si="128"/>
        <v>6171.0000000000009</v>
      </c>
      <c r="P609" s="880">
        <f>SUM(O609-O608)</f>
        <v>-50.916666666664241</v>
      </c>
      <c r="Q609" s="881">
        <f t="shared" si="127"/>
        <v>-8.1834375795236062E-3</v>
      </c>
      <c r="R609" s="881">
        <f t="shared" si="125"/>
        <v>0.14069537827368955</v>
      </c>
    </row>
    <row r="610" spans="1:18" x14ac:dyDescent="0.2">
      <c r="A610" s="879"/>
      <c r="B610" s="879" t="s">
        <v>546</v>
      </c>
      <c r="C610" s="879">
        <f t="shared" si="128"/>
        <v>6046</v>
      </c>
      <c r="D610" s="879">
        <f t="shared" si="128"/>
        <v>5977</v>
      </c>
      <c r="E610" s="879">
        <f t="shared" si="128"/>
        <v>5919</v>
      </c>
      <c r="F610" s="879">
        <f t="shared" si="128"/>
        <v>5878</v>
      </c>
      <c r="G610" s="879">
        <f t="shared" si="128"/>
        <v>5876</v>
      </c>
      <c r="H610" s="879">
        <f t="shared" si="128"/>
        <v>5773</v>
      </c>
      <c r="I610" s="879">
        <f t="shared" si="128"/>
        <v>5785</v>
      </c>
      <c r="J610" s="879">
        <f t="shared" si="128"/>
        <v>5754</v>
      </c>
      <c r="K610" s="879">
        <f t="shared" si="128"/>
        <v>5747</v>
      </c>
      <c r="L610" s="879">
        <f t="shared" si="128"/>
        <v>5612</v>
      </c>
      <c r="M610" s="879">
        <f t="shared" si="128"/>
        <v>5667</v>
      </c>
      <c r="N610" s="879">
        <f t="shared" si="128"/>
        <v>5672</v>
      </c>
      <c r="O610" s="880">
        <f t="shared" si="128"/>
        <v>5808.833333333333</v>
      </c>
      <c r="P610" s="880">
        <f>SUM(O610-O609)</f>
        <v>-362.16666666666788</v>
      </c>
      <c r="Q610" s="881">
        <f t="shared" si="127"/>
        <v>-5.8688489169772783E-2</v>
      </c>
      <c r="R610" s="881">
        <f t="shared" si="125"/>
        <v>6.2103072783718329E-2</v>
      </c>
    </row>
    <row r="611" spans="1:18" x14ac:dyDescent="0.2">
      <c r="A611" s="882"/>
      <c r="B611" s="882" t="s">
        <v>547</v>
      </c>
      <c r="C611" s="879">
        <f t="shared" si="128"/>
        <v>5433</v>
      </c>
      <c r="D611" s="879">
        <f t="shared" si="128"/>
        <v>5487</v>
      </c>
      <c r="E611" s="879">
        <f t="shared" si="128"/>
        <v>5411</v>
      </c>
      <c r="F611" s="879">
        <f t="shared" si="128"/>
        <v>5423</v>
      </c>
      <c r="G611" s="879">
        <f t="shared" si="128"/>
        <v>5368</v>
      </c>
      <c r="H611" s="879">
        <f t="shared" si="128"/>
        <v>5293</v>
      </c>
      <c r="I611" s="879">
        <f t="shared" si="128"/>
        <v>5267</v>
      </c>
      <c r="J611" s="879">
        <f t="shared" si="128"/>
        <v>5284</v>
      </c>
      <c r="K611" s="879">
        <f t="shared" si="128"/>
        <v>5341</v>
      </c>
      <c r="L611" s="879">
        <f t="shared" si="128"/>
        <v>5347</v>
      </c>
      <c r="M611" s="879">
        <f t="shared" si="128"/>
        <v>5336</v>
      </c>
      <c r="N611" s="879">
        <f t="shared" si="128"/>
        <v>5326</v>
      </c>
      <c r="O611" s="880">
        <f t="shared" si="128"/>
        <v>5359.6666666666661</v>
      </c>
      <c r="P611" s="880">
        <f>SUM(O611-O610)</f>
        <v>-449.16666666666697</v>
      </c>
      <c r="Q611" s="881">
        <f>SUM(P611/O610)</f>
        <v>-7.7324764008837171E-2</v>
      </c>
      <c r="R611" s="881">
        <f t="shared" si="125"/>
        <v>-5.2761809564714011E-2</v>
      </c>
    </row>
    <row r="612" spans="1:18" x14ac:dyDescent="0.2">
      <c r="A612" s="882"/>
      <c r="B612" s="882" t="s">
        <v>817</v>
      </c>
      <c r="C612" s="879">
        <f t="shared" si="128"/>
        <v>5219</v>
      </c>
      <c r="D612" s="879">
        <f t="shared" si="128"/>
        <v>5269</v>
      </c>
      <c r="E612" s="879">
        <f t="shared" si="128"/>
        <v>5324</v>
      </c>
      <c r="F612" s="879">
        <f t="shared" si="128"/>
        <v>5315</v>
      </c>
      <c r="G612" s="879">
        <f t="shared" si="128"/>
        <v>5268</v>
      </c>
      <c r="H612" s="879">
        <f t="shared" si="128"/>
        <v>5235</v>
      </c>
      <c r="I612" s="879">
        <f t="shared" si="128"/>
        <v>5264</v>
      </c>
      <c r="J612" s="879">
        <f t="shared" si="128"/>
        <v>5178</v>
      </c>
      <c r="K612" s="879">
        <f t="shared" si="128"/>
        <v>5152</v>
      </c>
      <c r="L612" s="879">
        <f t="shared" si="128"/>
        <v>5033</v>
      </c>
      <c r="M612" s="879">
        <f t="shared" si="128"/>
        <v>5006</v>
      </c>
      <c r="N612" s="879">
        <f t="shared" si="128"/>
        <v>4982</v>
      </c>
      <c r="O612" s="880">
        <f t="shared" si="128"/>
        <v>5187.0833333333339</v>
      </c>
      <c r="P612" s="880">
        <f>SUM(O612-O611)</f>
        <v>-172.58333333333212</v>
      </c>
      <c r="Q612" s="881">
        <f>SUM(P612/O611)</f>
        <v>-3.2200385596118937E-2</v>
      </c>
      <c r="R612" s="881">
        <f t="shared" si="125"/>
        <v>-0.10872669062344156</v>
      </c>
    </row>
    <row r="613" spans="1:18" x14ac:dyDescent="0.2">
      <c r="A613" s="882"/>
      <c r="B613" s="879" t="s">
        <v>818</v>
      </c>
      <c r="C613" s="879">
        <f t="shared" si="128"/>
        <v>4882</v>
      </c>
      <c r="D613" s="879">
        <f t="shared" si="128"/>
        <v>4681</v>
      </c>
      <c r="E613" s="879">
        <f t="shared" si="128"/>
        <v>0</v>
      </c>
      <c r="F613" s="879">
        <f t="shared" si="128"/>
        <v>0</v>
      </c>
      <c r="G613" s="879">
        <f t="shared" si="128"/>
        <v>0</v>
      </c>
      <c r="H613" s="879">
        <f t="shared" si="128"/>
        <v>0</v>
      </c>
      <c r="I613" s="879">
        <f t="shared" si="128"/>
        <v>0</v>
      </c>
      <c r="J613" s="879">
        <f t="shared" si="128"/>
        <v>0</v>
      </c>
      <c r="K613" s="879">
        <f t="shared" si="128"/>
        <v>0</v>
      </c>
      <c r="L613" s="879">
        <f t="shared" si="128"/>
        <v>0</v>
      </c>
      <c r="M613" s="879">
        <f t="shared" si="128"/>
        <v>0</v>
      </c>
      <c r="N613" s="879">
        <f t="shared" si="128"/>
        <v>0</v>
      </c>
      <c r="O613" s="880">
        <f t="shared" si="128"/>
        <v>0</v>
      </c>
      <c r="P613" s="880"/>
      <c r="Q613" s="881"/>
      <c r="R613" s="881"/>
    </row>
    <row r="614" spans="1:18" x14ac:dyDescent="0.2">
      <c r="A614" s="812" t="s">
        <v>820</v>
      </c>
      <c r="G614" s="813">
        <f>O612</f>
        <v>5187.0833333333339</v>
      </c>
    </row>
    <row r="615" spans="1:18" x14ac:dyDescent="0.2">
      <c r="A615" s="651"/>
      <c r="B615" s="651"/>
      <c r="C615" s="651"/>
      <c r="D615" s="651"/>
      <c r="E615" s="651"/>
      <c r="F615" s="651"/>
      <c r="G615" s="651"/>
      <c r="H615" s="651"/>
      <c r="I615" s="651"/>
      <c r="J615" s="651"/>
      <c r="K615" s="651"/>
      <c r="L615" s="651"/>
      <c r="M615" s="651"/>
      <c r="N615" s="651"/>
      <c r="O615" s="651"/>
      <c r="P615" s="651"/>
      <c r="Q615" s="651"/>
      <c r="R615" s="651"/>
    </row>
  </sheetData>
  <phoneticPr fontId="65" type="noConversion"/>
  <printOptions horizontalCentered="1"/>
  <pageMargins left="0" right="0" top="1" bottom="1" header="0.33" footer="0.5"/>
  <pageSetup scale="82" fitToHeight="0" orientation="landscape" r:id="rId1"/>
  <headerFooter alignWithMargins="0">
    <oddHeader>&amp;C&amp;"Arial,Bold"&amp;12DEPARTMENT OF CORRECTIONS
 COST OF CARE Year 2019
(Based on Fiscal Year 2018 Actuals)</oddHeader>
    <oddFooter>&amp;L&amp;8&amp;F &amp;A&amp;R&amp;8&amp;D &amp;T</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pageSetUpPr fitToPage="1"/>
  </sheetPr>
  <dimension ref="A2:Z499"/>
  <sheetViews>
    <sheetView showGridLines="0" topLeftCell="H1" zoomScale="85" zoomScaleNormal="85" workbookViewId="0">
      <selection activeCell="Y22" sqref="Y22"/>
    </sheetView>
  </sheetViews>
  <sheetFormatPr defaultRowHeight="12.75" x14ac:dyDescent="0.2"/>
  <cols>
    <col min="1" max="1" width="28" customWidth="1"/>
    <col min="2" max="2" width="10.28515625" customWidth="1"/>
    <col min="3" max="3" width="7.85546875" customWidth="1"/>
    <col min="4" max="4" width="8.5703125" bestFit="1" customWidth="1"/>
    <col min="5" max="5" width="8.28515625" bestFit="1" customWidth="1"/>
    <col min="6" max="6" width="10.5703125" customWidth="1"/>
    <col min="7" max="7" width="12" customWidth="1"/>
    <col min="8" max="8" width="9.28515625" customWidth="1"/>
    <col min="9" max="9" width="8.7109375" customWidth="1"/>
    <col min="10" max="10" width="8.5703125" customWidth="1"/>
    <col min="11" max="11" width="10.140625" customWidth="1"/>
    <col min="12" max="12" width="12.140625" customWidth="1"/>
    <col min="13" max="13" width="9.85546875" customWidth="1"/>
    <col min="14" max="15" width="8.5703125" bestFit="1" customWidth="1"/>
    <col min="16" max="16" width="10.5703125" customWidth="1"/>
    <col min="17" max="17" width="11" customWidth="1"/>
    <col min="18" max="18" width="9.28515625" customWidth="1"/>
    <col min="19" max="19" width="8.42578125" bestFit="1" customWidth="1"/>
    <col min="20" max="20" width="8.5703125" customWidth="1"/>
    <col min="21" max="21" width="10.140625" customWidth="1"/>
    <col min="22" max="22" width="10.85546875" customWidth="1"/>
    <col min="23" max="23" width="11.7109375" customWidth="1"/>
    <col min="24" max="25" width="11" customWidth="1"/>
  </cols>
  <sheetData>
    <row r="2" spans="1:25" ht="16.5" customHeight="1" thickBot="1" x14ac:dyDescent="0.25">
      <c r="A2" s="45" t="s">
        <v>144</v>
      </c>
      <c r="B2" s="10"/>
      <c r="C2" s="10"/>
      <c r="D2" s="13"/>
      <c r="E2" s="13"/>
      <c r="F2" s="13"/>
      <c r="G2" s="13"/>
      <c r="H2" s="13"/>
      <c r="I2" s="13"/>
      <c r="J2" s="13"/>
      <c r="K2" s="13"/>
      <c r="L2" s="13"/>
      <c r="M2" s="13"/>
      <c r="N2" s="13"/>
      <c r="O2" s="13"/>
      <c r="P2" s="13"/>
      <c r="Q2" s="13"/>
      <c r="R2" s="13"/>
      <c r="S2" s="13"/>
      <c r="T2" s="13"/>
      <c r="U2" s="13"/>
      <c r="V2" s="13"/>
      <c r="W2" s="13"/>
      <c r="X2" s="13"/>
      <c r="Y2" s="13"/>
    </row>
    <row r="3" spans="1:25" ht="16.5" customHeight="1" thickBot="1" x14ac:dyDescent="0.3">
      <c r="A3" s="891" t="s">
        <v>824</v>
      </c>
      <c r="B3" s="1045" t="s">
        <v>142</v>
      </c>
      <c r="C3" s="1046"/>
      <c r="D3" s="1046"/>
      <c r="E3" s="1046"/>
      <c r="F3" s="1046"/>
      <c r="G3" s="1046"/>
      <c r="H3" s="1046"/>
      <c r="I3" s="1046"/>
      <c r="J3" s="1046"/>
      <c r="K3" s="1046"/>
      <c r="L3" s="1046"/>
      <c r="M3" s="1046"/>
      <c r="N3" s="1046"/>
      <c r="O3" s="1046"/>
      <c r="P3" s="1046"/>
      <c r="Q3" s="1046"/>
      <c r="R3" s="1046"/>
      <c r="S3" s="1046"/>
      <c r="T3" s="1046"/>
      <c r="U3" s="1046"/>
      <c r="V3" s="39"/>
      <c r="W3" s="39"/>
      <c r="X3" s="92"/>
      <c r="Y3" s="13"/>
    </row>
    <row r="4" spans="1:25" ht="15" customHeight="1" x14ac:dyDescent="0.25">
      <c r="A4" s="56"/>
      <c r="B4" s="40" t="s">
        <v>566</v>
      </c>
      <c r="C4" s="1043" t="s">
        <v>567</v>
      </c>
      <c r="D4" s="57"/>
      <c r="E4" s="58"/>
      <c r="F4" s="58"/>
      <c r="G4" s="1047" t="s">
        <v>242</v>
      </c>
      <c r="H4" s="1049" t="s">
        <v>262</v>
      </c>
      <c r="I4" s="58"/>
      <c r="J4" s="58"/>
      <c r="K4" s="58"/>
      <c r="L4" s="1047" t="s">
        <v>242</v>
      </c>
      <c r="M4" s="1049" t="s">
        <v>262</v>
      </c>
      <c r="N4" s="58"/>
      <c r="O4" s="58"/>
      <c r="P4" s="58"/>
      <c r="Q4" s="1047" t="s">
        <v>242</v>
      </c>
      <c r="R4" s="1039" t="s">
        <v>262</v>
      </c>
      <c r="S4" s="58"/>
      <c r="T4" s="58"/>
      <c r="U4" s="59"/>
      <c r="V4" s="1047" t="s">
        <v>242</v>
      </c>
      <c r="W4" s="1039" t="s">
        <v>262</v>
      </c>
      <c r="X4" s="1041" t="s">
        <v>143</v>
      </c>
      <c r="Y4" s="1043" t="s">
        <v>144</v>
      </c>
    </row>
    <row r="5" spans="1:25" ht="24" customHeight="1" thickBot="1" x14ac:dyDescent="0.3">
      <c r="A5" s="47" t="s">
        <v>55</v>
      </c>
      <c r="B5" s="41" t="s">
        <v>568</v>
      </c>
      <c r="C5" s="1044"/>
      <c r="D5" s="60">
        <v>42917</v>
      </c>
      <c r="E5" s="61">
        <v>42948</v>
      </c>
      <c r="F5" s="61">
        <v>42979</v>
      </c>
      <c r="G5" s="1048"/>
      <c r="H5" s="1050"/>
      <c r="I5" s="61">
        <v>43009</v>
      </c>
      <c r="J5" s="61">
        <v>43040</v>
      </c>
      <c r="K5" s="61">
        <v>43070</v>
      </c>
      <c r="L5" s="1048"/>
      <c r="M5" s="1050"/>
      <c r="N5" s="61">
        <v>43101</v>
      </c>
      <c r="O5" s="61">
        <v>43132</v>
      </c>
      <c r="P5" s="61">
        <v>43160</v>
      </c>
      <c r="Q5" s="1048"/>
      <c r="R5" s="1040"/>
      <c r="S5" s="61">
        <v>43191</v>
      </c>
      <c r="T5" s="61">
        <v>43221</v>
      </c>
      <c r="U5" s="62">
        <v>43252</v>
      </c>
      <c r="V5" s="1048"/>
      <c r="W5" s="1040"/>
      <c r="X5" s="1042"/>
      <c r="Y5" s="1044"/>
    </row>
    <row r="6" spans="1:25" ht="15" customHeight="1" thickBot="1" x14ac:dyDescent="0.3">
      <c r="A6" s="48" t="s">
        <v>294</v>
      </c>
      <c r="B6" s="42">
        <v>863</v>
      </c>
      <c r="C6" s="42">
        <v>829</v>
      </c>
      <c r="D6" s="125">
        <v>846.2</v>
      </c>
      <c r="E6" s="125">
        <v>842</v>
      </c>
      <c r="F6" s="117">
        <v>871.8</v>
      </c>
      <c r="G6" s="63">
        <f t="shared" ref="G6:G15" si="0">SUM(D6:F6)/3</f>
        <v>853.33333333333337</v>
      </c>
      <c r="H6" s="108">
        <f>G6*92</f>
        <v>78506.666666666672</v>
      </c>
      <c r="I6" s="117">
        <v>842.8</v>
      </c>
      <c r="J6" s="117">
        <v>846.5</v>
      </c>
      <c r="K6" s="117">
        <v>831.2</v>
      </c>
      <c r="L6" s="63">
        <f>SUM(I6:K6)/3</f>
        <v>840.16666666666663</v>
      </c>
      <c r="M6" s="108">
        <f>L6*92</f>
        <v>77295.333333333328</v>
      </c>
      <c r="N6" s="117">
        <v>847.8</v>
      </c>
      <c r="O6" s="85">
        <v>862.6</v>
      </c>
      <c r="P6" s="85">
        <v>854.7</v>
      </c>
      <c r="Q6" s="63">
        <f>SUM(N6:P6)/3</f>
        <v>855.03333333333342</v>
      </c>
      <c r="R6" s="108">
        <f>Q6*90</f>
        <v>76953.000000000015</v>
      </c>
      <c r="S6" s="117">
        <v>850.7</v>
      </c>
      <c r="T6" s="85">
        <v>834.8</v>
      </c>
      <c r="U6" s="135">
        <v>869.5</v>
      </c>
      <c r="V6" s="63">
        <f>SUM(S6:U6)/3</f>
        <v>851.66666666666663</v>
      </c>
      <c r="W6" s="111">
        <f>V6*91</f>
        <v>77501.666666666657</v>
      </c>
      <c r="X6" s="64">
        <f>SUM(D6+E6+F6+I6+J6+K6+N6+O6+P6+S6+T6+U6)/12</f>
        <v>850.05000000000007</v>
      </c>
      <c r="Y6" s="65">
        <f>X6*365</f>
        <v>310268.25</v>
      </c>
    </row>
    <row r="7" spans="1:25" ht="15" customHeight="1" thickBot="1" x14ac:dyDescent="0.3">
      <c r="A7" s="49" t="s">
        <v>127</v>
      </c>
      <c r="B7" s="42">
        <v>128</v>
      </c>
      <c r="C7" s="42">
        <v>126</v>
      </c>
      <c r="D7" s="126">
        <v>120.1</v>
      </c>
      <c r="E7" s="126">
        <v>123.7</v>
      </c>
      <c r="F7" s="118">
        <v>121.5</v>
      </c>
      <c r="G7" s="63">
        <f t="shared" si="0"/>
        <v>121.76666666666667</v>
      </c>
      <c r="H7" s="108">
        <f>G7*92</f>
        <v>11202.533333333333</v>
      </c>
      <c r="I7" s="118">
        <v>125.1</v>
      </c>
      <c r="J7" s="118">
        <v>116.2</v>
      </c>
      <c r="K7" s="118">
        <v>125.3</v>
      </c>
      <c r="L7" s="63">
        <f>SUM(I7:K7)/3</f>
        <v>122.2</v>
      </c>
      <c r="M7" s="108">
        <f>L7*92</f>
        <v>11242.4</v>
      </c>
      <c r="N7" s="118">
        <v>120.4</v>
      </c>
      <c r="O7" s="86">
        <v>130.9</v>
      </c>
      <c r="P7" s="86">
        <v>121.8</v>
      </c>
      <c r="Q7" s="63">
        <f>SUM(N7:P7)/3</f>
        <v>124.36666666666667</v>
      </c>
      <c r="R7" s="108">
        <f>Q7*90</f>
        <v>11193</v>
      </c>
      <c r="S7" s="118">
        <v>122.2</v>
      </c>
      <c r="T7" s="86">
        <v>128.80000000000001</v>
      </c>
      <c r="U7" s="89">
        <v>136.6</v>
      </c>
      <c r="V7" s="63">
        <f>SUM(S7:U7)/3</f>
        <v>129.20000000000002</v>
      </c>
      <c r="W7" s="111">
        <f>V7*91</f>
        <v>11757.2</v>
      </c>
      <c r="X7" s="64">
        <f t="shared" ref="X7:X14" si="1">SUM(D7+E7+F7+I7+J7+K7+N7+O7+P7+S7+T7+U7)/12</f>
        <v>124.38333333333333</v>
      </c>
      <c r="Y7" s="65">
        <f t="shared" ref="Y7:Y14" si="2">X7*365</f>
        <v>45399.916666666664</v>
      </c>
    </row>
    <row r="8" spans="1:25" ht="15" customHeight="1" thickBot="1" x14ac:dyDescent="0.3">
      <c r="A8" s="50" t="s">
        <v>319</v>
      </c>
      <c r="B8" s="42">
        <v>259</v>
      </c>
      <c r="C8" s="42">
        <v>248</v>
      </c>
      <c r="D8" s="4">
        <v>300</v>
      </c>
      <c r="E8" s="4">
        <v>305.8</v>
      </c>
      <c r="F8" s="3">
        <v>291.10000000000002</v>
      </c>
      <c r="G8" s="63">
        <f t="shared" si="0"/>
        <v>298.96666666666664</v>
      </c>
      <c r="H8" s="108">
        <f>G8*92</f>
        <v>27504.933333333331</v>
      </c>
      <c r="I8" s="3">
        <v>271.10000000000002</v>
      </c>
      <c r="J8" s="3">
        <v>256.7</v>
      </c>
      <c r="K8" s="3">
        <v>261</v>
      </c>
      <c r="L8" s="63">
        <f>SUM(I8:K8)/3</f>
        <v>262.93333333333334</v>
      </c>
      <c r="M8" s="108">
        <f>L8*92</f>
        <v>24189.866666666669</v>
      </c>
      <c r="N8" s="3">
        <v>252.7</v>
      </c>
      <c r="O8" s="87">
        <v>271.10000000000002</v>
      </c>
      <c r="P8" s="87">
        <v>262.60000000000002</v>
      </c>
      <c r="Q8" s="63">
        <f>SUM(N8:P8)/3</f>
        <v>262.13333333333333</v>
      </c>
      <c r="R8" s="108">
        <f>Q8*90</f>
        <v>23592</v>
      </c>
      <c r="S8" s="3">
        <v>258.60000000000002</v>
      </c>
      <c r="T8" s="87">
        <v>252.5</v>
      </c>
      <c r="U8" s="90">
        <v>251.4</v>
      </c>
      <c r="V8" s="63">
        <f>SUM(S8:U8)/3</f>
        <v>254.16666666666666</v>
      </c>
      <c r="W8" s="111">
        <f>V8*91</f>
        <v>23129.166666666664</v>
      </c>
      <c r="X8" s="64">
        <f t="shared" si="1"/>
        <v>269.55</v>
      </c>
      <c r="Y8" s="65">
        <f t="shared" si="2"/>
        <v>98385.75</v>
      </c>
    </row>
    <row r="9" spans="1:25" ht="15" customHeight="1" thickBot="1" x14ac:dyDescent="0.3">
      <c r="A9" s="50" t="s">
        <v>436</v>
      </c>
      <c r="B9" s="42">
        <v>1472</v>
      </c>
      <c r="C9" s="42">
        <v>1408</v>
      </c>
      <c r="D9" s="4">
        <v>1305.5999999999999</v>
      </c>
      <c r="E9" s="4">
        <v>1303.5</v>
      </c>
      <c r="F9" s="3">
        <v>1336.9</v>
      </c>
      <c r="G9" s="63">
        <f t="shared" si="0"/>
        <v>1315.3333333333333</v>
      </c>
      <c r="H9" s="108">
        <f>G9*92</f>
        <v>121010.66666666666</v>
      </c>
      <c r="I9" s="3">
        <v>1419</v>
      </c>
      <c r="J9" s="3">
        <v>1378.4</v>
      </c>
      <c r="K9" s="3">
        <v>1382.7</v>
      </c>
      <c r="L9" s="63">
        <f>SUM(I9:K9)/3</f>
        <v>1393.3666666666668</v>
      </c>
      <c r="M9" s="108">
        <f>L9*92</f>
        <v>128189.73333333334</v>
      </c>
      <c r="N9" s="3">
        <v>1377.7</v>
      </c>
      <c r="O9" s="87">
        <v>1347.6</v>
      </c>
      <c r="P9" s="87">
        <v>1320.5</v>
      </c>
      <c r="Q9" s="63">
        <f>SUM(N9:P9)/3</f>
        <v>1348.6000000000001</v>
      </c>
      <c r="R9" s="108">
        <f>Q9*90</f>
        <v>121374.00000000001</v>
      </c>
      <c r="S9" s="3">
        <v>1297.8</v>
      </c>
      <c r="T9" s="87">
        <v>1276.7</v>
      </c>
      <c r="U9" s="90">
        <v>1259.2</v>
      </c>
      <c r="V9" s="63">
        <f>SUM(S9:U9)/3</f>
        <v>1277.8999999999999</v>
      </c>
      <c r="W9" s="111">
        <f>V9*91</f>
        <v>116288.9</v>
      </c>
      <c r="X9" s="64">
        <f t="shared" si="1"/>
        <v>1333.8</v>
      </c>
      <c r="Y9" s="65">
        <f t="shared" si="2"/>
        <v>486837</v>
      </c>
    </row>
    <row r="10" spans="1:25" ht="15" customHeight="1" thickBot="1" x14ac:dyDescent="0.3">
      <c r="A10" s="51" t="s">
        <v>259</v>
      </c>
      <c r="B10" s="42">
        <v>404</v>
      </c>
      <c r="C10" s="42">
        <v>395</v>
      </c>
      <c r="D10" s="4">
        <v>301.8</v>
      </c>
      <c r="E10" s="4">
        <v>299.89999999999998</v>
      </c>
      <c r="F10" s="3">
        <v>306.2</v>
      </c>
      <c r="G10" s="63">
        <f t="shared" si="0"/>
        <v>302.63333333333338</v>
      </c>
      <c r="H10" s="108">
        <f t="shared" ref="H10:H19" si="3">G10*92</f>
        <v>27842.26666666667</v>
      </c>
      <c r="I10" s="3">
        <v>312.89999999999998</v>
      </c>
      <c r="J10" s="3">
        <v>320.8</v>
      </c>
      <c r="K10" s="3">
        <v>308.10000000000002</v>
      </c>
      <c r="L10" s="63">
        <f t="shared" ref="L10:L20" si="4">SUM(I10:K10)/3</f>
        <v>313.93333333333334</v>
      </c>
      <c r="M10" s="108">
        <f t="shared" ref="M10:M20" si="5">L10*92</f>
        <v>28881.866666666669</v>
      </c>
      <c r="N10" s="3">
        <v>311.8</v>
      </c>
      <c r="O10" s="87">
        <v>316.3</v>
      </c>
      <c r="P10" s="87">
        <v>307.7</v>
      </c>
      <c r="Q10" s="63">
        <f t="shared" ref="Q10:Q20" si="6">SUM(N10:P10)/3</f>
        <v>311.93333333333334</v>
      </c>
      <c r="R10" s="108">
        <f t="shared" ref="R10:R20" si="7">Q10*90</f>
        <v>28074</v>
      </c>
      <c r="S10" s="3">
        <v>317.8</v>
      </c>
      <c r="T10" s="87">
        <v>309.10000000000002</v>
      </c>
      <c r="U10" s="90">
        <v>308</v>
      </c>
      <c r="V10" s="63">
        <f t="shared" ref="V10:V20" si="8">SUM(S10:U10)/3</f>
        <v>311.63333333333338</v>
      </c>
      <c r="W10" s="111">
        <f t="shared" ref="W10:W20" si="9">V10*91</f>
        <v>28358.633333333339</v>
      </c>
      <c r="X10" s="64">
        <f t="shared" si="1"/>
        <v>310.03333333333336</v>
      </c>
      <c r="Y10" s="65">
        <f t="shared" si="2"/>
        <v>113162.16666666667</v>
      </c>
    </row>
    <row r="11" spans="1:25" ht="15" customHeight="1" thickBot="1" x14ac:dyDescent="0.3">
      <c r="A11" s="50" t="s">
        <v>15</v>
      </c>
      <c r="B11" s="42">
        <v>58</v>
      </c>
      <c r="C11" s="42">
        <v>52</v>
      </c>
      <c r="D11" s="4">
        <v>46.5</v>
      </c>
      <c r="E11" s="4">
        <v>39</v>
      </c>
      <c r="F11" s="3">
        <v>45.6</v>
      </c>
      <c r="G11" s="63">
        <f t="shared" si="0"/>
        <v>43.699999999999996</v>
      </c>
      <c r="H11" s="108">
        <f t="shared" si="3"/>
        <v>4020.3999999999996</v>
      </c>
      <c r="I11" s="3">
        <v>49.6</v>
      </c>
      <c r="J11" s="3">
        <v>47.8</v>
      </c>
      <c r="K11" s="3">
        <v>58.2</v>
      </c>
      <c r="L11" s="63">
        <f t="shared" si="4"/>
        <v>51.866666666666674</v>
      </c>
      <c r="M11" s="108">
        <f t="shared" si="5"/>
        <v>4771.7333333333336</v>
      </c>
      <c r="N11" s="3">
        <v>55.3</v>
      </c>
      <c r="O11" s="87">
        <v>57.2</v>
      </c>
      <c r="P11" s="87">
        <v>57.8</v>
      </c>
      <c r="Q11" s="63">
        <f t="shared" si="6"/>
        <v>56.766666666666673</v>
      </c>
      <c r="R11" s="108">
        <f t="shared" si="7"/>
        <v>5109.0000000000009</v>
      </c>
      <c r="S11" s="3">
        <v>57.2</v>
      </c>
      <c r="T11" s="87">
        <v>58.2</v>
      </c>
      <c r="U11" s="90">
        <v>49.7</v>
      </c>
      <c r="V11" s="63">
        <f t="shared" si="8"/>
        <v>55.033333333333339</v>
      </c>
      <c r="W11" s="111">
        <f t="shared" si="9"/>
        <v>5008.0333333333338</v>
      </c>
      <c r="X11" s="64">
        <f t="shared" si="1"/>
        <v>51.841666666666676</v>
      </c>
      <c r="Y11" s="65">
        <f t="shared" si="2"/>
        <v>18922.208333333336</v>
      </c>
    </row>
    <row r="12" spans="1:25" ht="15" customHeight="1" thickBot="1" x14ac:dyDescent="0.3">
      <c r="A12" s="50" t="s">
        <v>16</v>
      </c>
      <c r="B12" s="42">
        <v>232</v>
      </c>
      <c r="C12" s="42">
        <v>226</v>
      </c>
      <c r="D12" s="4">
        <v>200.5</v>
      </c>
      <c r="E12" s="4">
        <v>217.5</v>
      </c>
      <c r="F12" s="3">
        <v>204.1</v>
      </c>
      <c r="G12" s="63">
        <f t="shared" si="0"/>
        <v>207.36666666666667</v>
      </c>
      <c r="H12" s="108">
        <f t="shared" si="3"/>
        <v>19077.733333333334</v>
      </c>
      <c r="I12" s="3">
        <v>212.4</v>
      </c>
      <c r="J12" s="3">
        <v>217</v>
      </c>
      <c r="K12" s="3">
        <v>206.3</v>
      </c>
      <c r="L12" s="63">
        <f t="shared" si="4"/>
        <v>211.9</v>
      </c>
      <c r="M12" s="108">
        <f t="shared" si="5"/>
        <v>19494.8</v>
      </c>
      <c r="N12" s="3">
        <v>197.5</v>
      </c>
      <c r="O12" s="87">
        <v>196.4</v>
      </c>
      <c r="P12" s="87">
        <v>202.8</v>
      </c>
      <c r="Q12" s="63">
        <f t="shared" si="6"/>
        <v>198.9</v>
      </c>
      <c r="R12" s="108">
        <f t="shared" si="7"/>
        <v>17901</v>
      </c>
      <c r="S12" s="3">
        <v>209.8</v>
      </c>
      <c r="T12" s="87">
        <v>223.9</v>
      </c>
      <c r="U12" s="90">
        <v>213.2</v>
      </c>
      <c r="V12" s="63">
        <f t="shared" si="8"/>
        <v>215.63333333333335</v>
      </c>
      <c r="W12" s="111">
        <f t="shared" si="9"/>
        <v>19622.633333333335</v>
      </c>
      <c r="X12" s="64">
        <f t="shared" si="1"/>
        <v>208.45000000000002</v>
      </c>
      <c r="Y12" s="65">
        <f t="shared" si="2"/>
        <v>76084.25</v>
      </c>
    </row>
    <row r="13" spans="1:25" ht="15" customHeight="1" thickBot="1" x14ac:dyDescent="0.3">
      <c r="A13" s="50" t="s">
        <v>129</v>
      </c>
      <c r="B13" s="42">
        <v>102</v>
      </c>
      <c r="C13" s="42">
        <v>98</v>
      </c>
      <c r="D13" s="4">
        <v>86.7</v>
      </c>
      <c r="E13" s="4">
        <v>86.4</v>
      </c>
      <c r="F13" s="3">
        <v>85.4</v>
      </c>
      <c r="G13" s="63">
        <f t="shared" si="0"/>
        <v>86.166666666666671</v>
      </c>
      <c r="H13" s="108">
        <f t="shared" si="3"/>
        <v>7927.3333333333339</v>
      </c>
      <c r="I13" s="3">
        <v>87.3</v>
      </c>
      <c r="J13" s="3">
        <v>91.6</v>
      </c>
      <c r="K13" s="3">
        <v>85.1</v>
      </c>
      <c r="L13" s="63">
        <f t="shared" si="4"/>
        <v>88</v>
      </c>
      <c r="M13" s="108">
        <f t="shared" si="5"/>
        <v>8096</v>
      </c>
      <c r="N13" s="3">
        <v>83.4</v>
      </c>
      <c r="O13" s="87">
        <v>84.3</v>
      </c>
      <c r="P13" s="87">
        <v>90.5</v>
      </c>
      <c r="Q13" s="63">
        <f t="shared" si="6"/>
        <v>86.066666666666663</v>
      </c>
      <c r="R13" s="108">
        <f t="shared" si="7"/>
        <v>7746</v>
      </c>
      <c r="S13" s="3">
        <v>92.8</v>
      </c>
      <c r="T13" s="87">
        <v>84.5</v>
      </c>
      <c r="U13" s="90">
        <v>88.7</v>
      </c>
      <c r="V13" s="63">
        <f t="shared" si="8"/>
        <v>88.666666666666671</v>
      </c>
      <c r="W13" s="111">
        <f t="shared" si="9"/>
        <v>8068.666666666667</v>
      </c>
      <c r="X13" s="64">
        <f t="shared" si="1"/>
        <v>87.22499999999998</v>
      </c>
      <c r="Y13" s="65">
        <f t="shared" si="2"/>
        <v>31837.124999999993</v>
      </c>
    </row>
    <row r="14" spans="1:25" ht="15" customHeight="1" thickBot="1" x14ac:dyDescent="0.3">
      <c r="A14" s="51" t="s">
        <v>260</v>
      </c>
      <c r="B14" s="42">
        <f>338+176</f>
        <v>514</v>
      </c>
      <c r="C14" s="42">
        <f>327+176</f>
        <v>503</v>
      </c>
      <c r="D14" s="888">
        <v>0</v>
      </c>
      <c r="E14" s="888">
        <v>0</v>
      </c>
      <c r="F14" s="3">
        <v>0</v>
      </c>
      <c r="G14" s="63">
        <f t="shared" ref="G14" si="10">SUM(D14:F14)/3</f>
        <v>0</v>
      </c>
      <c r="H14" s="108">
        <f t="shared" si="3"/>
        <v>0</v>
      </c>
      <c r="I14" s="3">
        <v>0</v>
      </c>
      <c r="J14" s="3">
        <v>0</v>
      </c>
      <c r="K14" s="3">
        <v>0</v>
      </c>
      <c r="L14" s="63">
        <f t="shared" si="4"/>
        <v>0</v>
      </c>
      <c r="M14" s="108">
        <f t="shared" si="5"/>
        <v>0</v>
      </c>
      <c r="N14" s="3">
        <v>0</v>
      </c>
      <c r="O14" s="87">
        <v>0</v>
      </c>
      <c r="P14" s="87">
        <v>0</v>
      </c>
      <c r="Q14" s="63">
        <f t="shared" si="6"/>
        <v>0</v>
      </c>
      <c r="R14" s="108">
        <f t="shared" si="7"/>
        <v>0</v>
      </c>
      <c r="S14" s="3">
        <v>0</v>
      </c>
      <c r="T14" s="87">
        <v>0</v>
      </c>
      <c r="U14" s="90">
        <v>0</v>
      </c>
      <c r="V14" s="63">
        <f t="shared" si="8"/>
        <v>0</v>
      </c>
      <c r="W14" s="111">
        <f t="shared" si="9"/>
        <v>0</v>
      </c>
      <c r="X14" s="64">
        <f t="shared" si="1"/>
        <v>0</v>
      </c>
      <c r="Y14" s="65">
        <f t="shared" si="2"/>
        <v>0</v>
      </c>
    </row>
    <row r="15" spans="1:25" ht="15" customHeight="1" thickBot="1" x14ac:dyDescent="0.3">
      <c r="A15" s="50" t="s">
        <v>138</v>
      </c>
      <c r="B15" s="42">
        <v>128</v>
      </c>
      <c r="C15" s="42">
        <v>128</v>
      </c>
      <c r="D15" s="4">
        <v>81.599999999999994</v>
      </c>
      <c r="E15" s="4">
        <v>91.6</v>
      </c>
      <c r="F15" s="4">
        <v>86.3</v>
      </c>
      <c r="G15" s="63">
        <f t="shared" si="0"/>
        <v>86.5</v>
      </c>
      <c r="H15" s="108">
        <f t="shared" si="3"/>
        <v>7958</v>
      </c>
      <c r="I15" s="3">
        <v>81.7</v>
      </c>
      <c r="J15" s="4">
        <v>87.9</v>
      </c>
      <c r="K15" s="4">
        <v>84.4</v>
      </c>
      <c r="L15" s="63">
        <f t="shared" si="4"/>
        <v>84.666666666666671</v>
      </c>
      <c r="M15" s="108">
        <f t="shared" si="5"/>
        <v>7789.3333333333339</v>
      </c>
      <c r="N15" s="4">
        <v>79</v>
      </c>
      <c r="O15" s="4">
        <v>77.400000000000006</v>
      </c>
      <c r="P15" s="4">
        <v>90.8</v>
      </c>
      <c r="Q15" s="63">
        <f t="shared" si="6"/>
        <v>82.399999999999991</v>
      </c>
      <c r="R15" s="108">
        <f t="shared" si="7"/>
        <v>7415.9999999999991</v>
      </c>
      <c r="S15" s="4">
        <v>97.5</v>
      </c>
      <c r="T15" s="4">
        <v>94.7</v>
      </c>
      <c r="U15" s="4">
        <v>93.4</v>
      </c>
      <c r="V15" s="63">
        <f t="shared" si="8"/>
        <v>95.2</v>
      </c>
      <c r="W15" s="111">
        <f t="shared" si="9"/>
        <v>8663.2000000000007</v>
      </c>
      <c r="X15" s="64">
        <f>SUM(D15+E15+F15+I15+J15+K15+N15+O15+P15+S15+T15+U15)/12</f>
        <v>87.191666666666663</v>
      </c>
      <c r="Y15" s="65">
        <f>X15*365</f>
        <v>31824.958333333332</v>
      </c>
    </row>
    <row r="16" spans="1:25" ht="15" customHeight="1" thickBot="1" x14ac:dyDescent="0.3">
      <c r="A16" s="49" t="s">
        <v>19</v>
      </c>
      <c r="B16" s="42">
        <v>551</v>
      </c>
      <c r="C16" s="42">
        <v>535</v>
      </c>
      <c r="D16" s="126">
        <v>395.9</v>
      </c>
      <c r="E16" s="126">
        <v>397.8</v>
      </c>
      <c r="F16" s="118">
        <v>395.5</v>
      </c>
      <c r="G16" s="63">
        <f>SUM(D16:F16)/3</f>
        <v>396.40000000000003</v>
      </c>
      <c r="H16" s="108">
        <f t="shared" si="3"/>
        <v>36468.800000000003</v>
      </c>
      <c r="I16" s="118">
        <v>390.9</v>
      </c>
      <c r="J16" s="3">
        <v>396.5</v>
      </c>
      <c r="K16" s="118">
        <v>393</v>
      </c>
      <c r="L16" s="63">
        <f t="shared" si="4"/>
        <v>393.4666666666667</v>
      </c>
      <c r="M16" s="111">
        <f t="shared" si="5"/>
        <v>36198.933333333334</v>
      </c>
      <c r="N16" s="3">
        <v>392.2</v>
      </c>
      <c r="O16" s="86">
        <v>373.7</v>
      </c>
      <c r="P16" s="86">
        <v>387.5</v>
      </c>
      <c r="Q16" s="63">
        <f t="shared" si="6"/>
        <v>384.4666666666667</v>
      </c>
      <c r="R16" s="108">
        <f t="shared" si="7"/>
        <v>34602</v>
      </c>
      <c r="S16" s="3">
        <v>389.5</v>
      </c>
      <c r="T16" s="86">
        <v>393.3</v>
      </c>
      <c r="U16" s="89">
        <v>406.5</v>
      </c>
      <c r="V16" s="63">
        <f t="shared" si="8"/>
        <v>396.43333333333334</v>
      </c>
      <c r="W16" s="111">
        <f t="shared" si="9"/>
        <v>36075.433333333334</v>
      </c>
      <c r="X16" s="64">
        <f>SUM(D16+E16+F16+I16+J16+K16+N16+O16+P16+S16+T16+U16)/12</f>
        <v>392.69166666666661</v>
      </c>
      <c r="Y16" s="65">
        <f>X16*365</f>
        <v>143332.45833333331</v>
      </c>
    </row>
    <row r="17" spans="1:25" ht="15" customHeight="1" thickBot="1" x14ac:dyDescent="0.3">
      <c r="A17" s="51" t="s">
        <v>431</v>
      </c>
      <c r="B17" s="42">
        <f>326+115</f>
        <v>441</v>
      </c>
      <c r="C17" s="42">
        <f>320+110</f>
        <v>430</v>
      </c>
      <c r="D17" s="4">
        <f>322.7+100</f>
        <v>422.7</v>
      </c>
      <c r="E17" s="4">
        <f>326.5+91.6</f>
        <v>418.1</v>
      </c>
      <c r="F17" s="3">
        <f>312.5+95.4</f>
        <v>407.9</v>
      </c>
      <c r="G17" s="63">
        <f>SUM(D17:F17)/3</f>
        <v>416.23333333333329</v>
      </c>
      <c r="H17" s="108">
        <f t="shared" si="3"/>
        <v>38293.46666666666</v>
      </c>
      <c r="I17" s="3">
        <f>307.7+100</f>
        <v>407.7</v>
      </c>
      <c r="J17" s="3">
        <f>313.6+100.6</f>
        <v>414.20000000000005</v>
      </c>
      <c r="K17" s="3">
        <f>316.6+93.2</f>
        <v>409.8</v>
      </c>
      <c r="L17" s="63">
        <f t="shared" si="4"/>
        <v>410.56666666666666</v>
      </c>
      <c r="M17" s="108">
        <f t="shared" si="5"/>
        <v>37772.133333333331</v>
      </c>
      <c r="N17" s="3">
        <f>324.1+84</f>
        <v>408.1</v>
      </c>
      <c r="O17" s="87">
        <f>322.3+85.3</f>
        <v>407.6</v>
      </c>
      <c r="P17" s="87">
        <f>315+74.2</f>
        <v>389.2</v>
      </c>
      <c r="Q17" s="63">
        <f t="shared" si="6"/>
        <v>401.63333333333338</v>
      </c>
      <c r="R17" s="108">
        <f t="shared" si="7"/>
        <v>36147.000000000007</v>
      </c>
      <c r="S17" s="3">
        <f>318.3+79.8</f>
        <v>398.1</v>
      </c>
      <c r="T17" s="87">
        <f>326.5+79.7</f>
        <v>406.2</v>
      </c>
      <c r="U17" s="90">
        <f>325.2+77.1</f>
        <v>402.29999999999995</v>
      </c>
      <c r="V17" s="63">
        <f t="shared" si="8"/>
        <v>402.2</v>
      </c>
      <c r="W17" s="111">
        <f t="shared" si="9"/>
        <v>36600.199999999997</v>
      </c>
      <c r="X17" s="64">
        <f>SUM(D17+E17+F17+I17+J17+K17+N17+O17+P17+S17+T17+U17)/12</f>
        <v>407.6583333333333</v>
      </c>
      <c r="Y17" s="65">
        <f>X17*365</f>
        <v>148795.29166666666</v>
      </c>
    </row>
    <row r="18" spans="1:25" ht="15" customHeight="1" thickBot="1" x14ac:dyDescent="0.3">
      <c r="A18" s="50" t="s">
        <v>130</v>
      </c>
      <c r="B18" s="42">
        <v>200</v>
      </c>
      <c r="C18" s="42">
        <v>189</v>
      </c>
      <c r="D18" s="4">
        <v>150.4</v>
      </c>
      <c r="E18" s="4">
        <v>157.80000000000001</v>
      </c>
      <c r="F18" s="3">
        <v>156.19999999999999</v>
      </c>
      <c r="G18" s="63">
        <f>SUM(D18:F18)/3</f>
        <v>154.80000000000001</v>
      </c>
      <c r="H18" s="108">
        <f t="shared" si="3"/>
        <v>14241.6</v>
      </c>
      <c r="I18" s="3">
        <v>163.80000000000001</v>
      </c>
      <c r="J18" s="3">
        <v>158.9</v>
      </c>
      <c r="K18" s="3">
        <v>165.8</v>
      </c>
      <c r="L18" s="63">
        <f t="shared" si="4"/>
        <v>162.83333333333334</v>
      </c>
      <c r="M18" s="108">
        <f t="shared" si="5"/>
        <v>14980.666666666668</v>
      </c>
      <c r="N18" s="3">
        <v>182</v>
      </c>
      <c r="O18" s="87">
        <v>177.8</v>
      </c>
      <c r="P18" s="87">
        <v>170.1</v>
      </c>
      <c r="Q18" s="63">
        <f t="shared" si="6"/>
        <v>176.63333333333333</v>
      </c>
      <c r="R18" s="108">
        <f t="shared" si="7"/>
        <v>15897</v>
      </c>
      <c r="S18" s="3">
        <v>169.6</v>
      </c>
      <c r="T18" s="87">
        <v>167.4</v>
      </c>
      <c r="U18" s="90">
        <v>170</v>
      </c>
      <c r="V18" s="63">
        <f t="shared" si="8"/>
        <v>169</v>
      </c>
      <c r="W18" s="111">
        <f t="shared" si="9"/>
        <v>15379</v>
      </c>
      <c r="X18" s="64">
        <f>SUM(D18+E18+F18+I18+J18+K18+N18+O18+P18+S18+T18+U18)/12</f>
        <v>165.81666666666666</v>
      </c>
      <c r="Y18" s="65">
        <f>X18*365</f>
        <v>60523.083333333328</v>
      </c>
    </row>
    <row r="19" spans="1:25" ht="15" customHeight="1" thickBot="1" x14ac:dyDescent="0.3">
      <c r="A19" s="50" t="s">
        <v>131</v>
      </c>
      <c r="B19" s="34"/>
      <c r="C19" s="34"/>
      <c r="D19" s="888">
        <v>0</v>
      </c>
      <c r="E19" s="888">
        <v>0</v>
      </c>
      <c r="F19" s="888">
        <v>0</v>
      </c>
      <c r="G19" s="67">
        <f>SUM(D19:F19)/3</f>
        <v>0</v>
      </c>
      <c r="H19" s="108">
        <f t="shared" si="3"/>
        <v>0</v>
      </c>
      <c r="I19" s="888">
        <v>0</v>
      </c>
      <c r="J19" s="888">
        <v>0</v>
      </c>
      <c r="K19" s="888">
        <v>0</v>
      </c>
      <c r="L19" s="67">
        <f t="shared" si="4"/>
        <v>0</v>
      </c>
      <c r="M19" s="108">
        <f t="shared" si="5"/>
        <v>0</v>
      </c>
      <c r="N19" s="888">
        <v>0</v>
      </c>
      <c r="O19" s="888">
        <v>0</v>
      </c>
      <c r="P19" s="888">
        <v>0</v>
      </c>
      <c r="Q19" s="67">
        <f t="shared" si="6"/>
        <v>0</v>
      </c>
      <c r="R19" s="108">
        <f t="shared" si="7"/>
        <v>0</v>
      </c>
      <c r="S19" s="888">
        <v>0</v>
      </c>
      <c r="T19" s="888">
        <v>0</v>
      </c>
      <c r="U19" s="888">
        <v>0</v>
      </c>
      <c r="V19" s="67">
        <f t="shared" si="8"/>
        <v>0</v>
      </c>
      <c r="W19" s="112">
        <f t="shared" si="9"/>
        <v>0</v>
      </c>
      <c r="X19" s="64">
        <v>0</v>
      </c>
      <c r="Y19" s="65">
        <f>X19*365</f>
        <v>0</v>
      </c>
    </row>
    <row r="20" spans="1:25" ht="15" customHeight="1" thickBot="1" x14ac:dyDescent="0.3">
      <c r="A20" s="626" t="s">
        <v>139</v>
      </c>
      <c r="B20" s="627"/>
      <c r="C20" s="627"/>
      <c r="D20" s="628">
        <f>SUM(D6:D19)</f>
        <v>4258</v>
      </c>
      <c r="E20" s="628">
        <f>SUM(E6:E19)</f>
        <v>4283.1000000000004</v>
      </c>
      <c r="F20" s="628">
        <f>SUM(F6:F19)</f>
        <v>4308.5</v>
      </c>
      <c r="G20" s="629">
        <f>SUM(D20:F20)/3</f>
        <v>4283.2</v>
      </c>
      <c r="H20" s="630">
        <f>G20*92</f>
        <v>394054.39999999997</v>
      </c>
      <c r="I20" s="631">
        <f>SUM(I6:I19)</f>
        <v>4364.3</v>
      </c>
      <c r="J20" s="628">
        <f>SUM(J6:J19)</f>
        <v>4332.5</v>
      </c>
      <c r="K20" s="628">
        <f>SUM(K6:K19)</f>
        <v>4310.8999999999996</v>
      </c>
      <c r="L20" s="629">
        <f t="shared" si="4"/>
        <v>4335.8999999999996</v>
      </c>
      <c r="M20" s="632">
        <f t="shared" si="5"/>
        <v>398902.8</v>
      </c>
      <c r="N20" s="633">
        <f>SUM(N6:N19)</f>
        <v>4307.9000000000005</v>
      </c>
      <c r="O20" s="628">
        <f>SUM(O6:O19)</f>
        <v>4302.9000000000005</v>
      </c>
      <c r="P20" s="628">
        <f>SUM(P6:P19)</f>
        <v>4256</v>
      </c>
      <c r="Q20" s="629">
        <f t="shared" si="6"/>
        <v>4288.9333333333334</v>
      </c>
      <c r="R20" s="632">
        <f t="shared" si="7"/>
        <v>386004</v>
      </c>
      <c r="S20" s="631">
        <f>SUM(S6:S19)</f>
        <v>4261.6000000000004</v>
      </c>
      <c r="T20" s="628">
        <f>SUM(T6:T18)</f>
        <v>4230.0999999999995</v>
      </c>
      <c r="U20" s="634">
        <f>SUM(U6:U19)-1</f>
        <v>4247.4999999999991</v>
      </c>
      <c r="V20" s="629">
        <f t="shared" si="8"/>
        <v>4246.4000000000005</v>
      </c>
      <c r="W20" s="635">
        <f t="shared" si="9"/>
        <v>386422.4</v>
      </c>
      <c r="X20" s="636">
        <f>SUM(D20+E20+F20+I20+J20+K20+N20+O20+P20+S20+T20+U20)/12</f>
        <v>4288.6083333333336</v>
      </c>
      <c r="Y20" s="636">
        <f>SUM(Y6:Y19)</f>
        <v>1565372.4583333333</v>
      </c>
    </row>
    <row r="21" spans="1:25" ht="15" customHeight="1" thickBot="1" x14ac:dyDescent="0.3">
      <c r="A21" s="46" t="s">
        <v>140</v>
      </c>
      <c r="B21" s="35"/>
      <c r="C21" s="35"/>
      <c r="D21" s="70"/>
      <c r="E21" s="70"/>
      <c r="F21" s="71"/>
      <c r="G21" s="98"/>
      <c r="H21" s="98"/>
      <c r="I21" s="72"/>
      <c r="J21" s="70"/>
      <c r="K21" s="71"/>
      <c r="L21" s="97"/>
      <c r="M21" s="97"/>
      <c r="N21" s="72"/>
      <c r="O21" s="70"/>
      <c r="P21" s="71"/>
      <c r="Q21" s="97"/>
      <c r="R21" s="97"/>
      <c r="S21" s="72"/>
      <c r="T21" s="70"/>
      <c r="U21" s="71"/>
      <c r="V21" s="71"/>
      <c r="W21" s="70"/>
      <c r="X21" s="96"/>
      <c r="Y21" s="69" t="s">
        <v>0</v>
      </c>
    </row>
    <row r="22" spans="1:25" ht="15" customHeight="1" thickBot="1" x14ac:dyDescent="0.3">
      <c r="A22" s="892" t="s">
        <v>132</v>
      </c>
      <c r="B22" s="893">
        <v>544</v>
      </c>
      <c r="C22" s="894" t="s">
        <v>103</v>
      </c>
      <c r="D22" s="895">
        <v>369.55</v>
      </c>
      <c r="E22" s="895">
        <v>363.84</v>
      </c>
      <c r="F22" s="895">
        <f>330.37+30.3</f>
        <v>360.67</v>
      </c>
      <c r="G22" s="896">
        <f t="shared" ref="G22:G28" si="11">SUM(D22:F22)/3</f>
        <v>364.68666666666667</v>
      </c>
      <c r="H22" s="897">
        <f t="shared" ref="H22:H28" si="12">G22*92</f>
        <v>33551.173333333332</v>
      </c>
      <c r="I22" s="895">
        <v>343.19</v>
      </c>
      <c r="J22" s="895">
        <v>316.89999999999998</v>
      </c>
      <c r="K22" s="895">
        <v>295.35000000000002</v>
      </c>
      <c r="L22" s="896">
        <f t="shared" ref="L22:L29" si="13">SUM(I22:K22)/3</f>
        <v>318.47999999999996</v>
      </c>
      <c r="M22" s="897">
        <f t="shared" ref="M22:M28" si="14">L22*92</f>
        <v>29300.159999999996</v>
      </c>
      <c r="N22" s="895">
        <v>265.35000000000002</v>
      </c>
      <c r="O22" s="898">
        <f>276.61+41</f>
        <v>317.61</v>
      </c>
      <c r="P22" s="898">
        <f>271.13+51.39</f>
        <v>322.52</v>
      </c>
      <c r="Q22" s="896">
        <f t="shared" ref="Q22:Q29" si="15">SUM(N22:P22)/3</f>
        <v>301.82666666666665</v>
      </c>
      <c r="R22" s="897">
        <f t="shared" ref="R22:R28" si="16">Q22*90</f>
        <v>27164.399999999998</v>
      </c>
      <c r="S22" s="895">
        <v>304.60000000000002</v>
      </c>
      <c r="T22" s="898">
        <v>286.19</v>
      </c>
      <c r="U22" s="899">
        <v>286.19</v>
      </c>
      <c r="V22" s="896">
        <f t="shared" ref="V22:V29" si="17">SUM(S22:U22)/3</f>
        <v>292.32666666666665</v>
      </c>
      <c r="W22" s="900">
        <f t="shared" ref="W22:W28" si="18">V22*91</f>
        <v>26601.726666666666</v>
      </c>
      <c r="X22" s="901">
        <f>SUM(D22+E22+F22+I22+J22+K22+N22+O22+P22+S22+T22+U22)/12</f>
        <v>319.33</v>
      </c>
      <c r="Y22" s="902">
        <f t="shared" ref="Y22:Y27" si="19">X22*365</f>
        <v>116555.45</v>
      </c>
    </row>
    <row r="23" spans="1:25" ht="15" customHeight="1" thickBot="1" x14ac:dyDescent="0.3">
      <c r="A23" s="50" t="s">
        <v>133</v>
      </c>
      <c r="B23" s="889" t="s">
        <v>103</v>
      </c>
      <c r="C23" s="496" t="s">
        <v>103</v>
      </c>
      <c r="D23" s="5">
        <f>8+3.87</f>
        <v>11.870000000000001</v>
      </c>
      <c r="E23" s="5">
        <f>7.06+4</f>
        <v>11.059999999999999</v>
      </c>
      <c r="F23" s="5">
        <f>4.17+4</f>
        <v>8.17</v>
      </c>
      <c r="G23" s="63">
        <f t="shared" si="11"/>
        <v>10.366666666666667</v>
      </c>
      <c r="H23" s="108">
        <f t="shared" si="12"/>
        <v>953.73333333333335</v>
      </c>
      <c r="I23" s="5">
        <f>3+4</f>
        <v>7</v>
      </c>
      <c r="J23" s="5">
        <f>1.63+4</f>
        <v>5.63</v>
      </c>
      <c r="K23" s="5">
        <v>4</v>
      </c>
      <c r="L23" s="63">
        <f t="shared" si="13"/>
        <v>5.543333333333333</v>
      </c>
      <c r="M23" s="108">
        <f t="shared" si="14"/>
        <v>509.98666666666662</v>
      </c>
      <c r="N23" s="5">
        <v>4</v>
      </c>
      <c r="O23" s="75">
        <v>4</v>
      </c>
      <c r="P23" s="75">
        <v>4</v>
      </c>
      <c r="Q23" s="63">
        <f t="shared" si="15"/>
        <v>4</v>
      </c>
      <c r="R23" s="108">
        <f t="shared" si="16"/>
        <v>360</v>
      </c>
      <c r="S23" s="5">
        <v>2.13</v>
      </c>
      <c r="T23" s="75">
        <v>0</v>
      </c>
      <c r="U23" s="76">
        <v>0</v>
      </c>
      <c r="V23" s="63">
        <f t="shared" si="17"/>
        <v>0.71</v>
      </c>
      <c r="W23" s="111">
        <f t="shared" si="18"/>
        <v>64.61</v>
      </c>
      <c r="X23" s="64">
        <f>SUM(D23+E23+F23+I23+J23+K23+N23+O23+P23+S23+T23+U23)/12</f>
        <v>5.1550000000000002</v>
      </c>
      <c r="Y23" s="65">
        <f t="shared" si="19"/>
        <v>1881.575</v>
      </c>
    </row>
    <row r="24" spans="1:25" ht="15" customHeight="1" thickBot="1" x14ac:dyDescent="0.3">
      <c r="A24" s="50" t="s">
        <v>135</v>
      </c>
      <c r="B24" s="890" t="s">
        <v>823</v>
      </c>
      <c r="C24" s="496" t="s">
        <v>103</v>
      </c>
      <c r="D24" s="5">
        <v>18.16</v>
      </c>
      <c r="E24" s="5">
        <v>21.29</v>
      </c>
      <c r="F24" s="5">
        <v>23.03</v>
      </c>
      <c r="G24" s="63">
        <f t="shared" si="11"/>
        <v>20.826666666666668</v>
      </c>
      <c r="H24" s="108">
        <f t="shared" si="12"/>
        <v>1916.0533333333335</v>
      </c>
      <c r="I24" s="5">
        <v>25.32</v>
      </c>
      <c r="J24" s="5">
        <v>21.13</v>
      </c>
      <c r="K24" s="5">
        <v>18</v>
      </c>
      <c r="L24" s="63">
        <f t="shared" si="13"/>
        <v>21.483333333333334</v>
      </c>
      <c r="M24" s="108">
        <f t="shared" si="14"/>
        <v>1976.4666666666667</v>
      </c>
      <c r="N24" s="5">
        <v>20.350000000000001</v>
      </c>
      <c r="O24" s="75">
        <v>25.43</v>
      </c>
      <c r="P24" s="75">
        <f>12.9+9.19</f>
        <v>22.09</v>
      </c>
      <c r="Q24" s="63">
        <f t="shared" si="15"/>
        <v>22.623333333333335</v>
      </c>
      <c r="R24" s="108">
        <f t="shared" si="16"/>
        <v>2036.1000000000001</v>
      </c>
      <c r="S24" s="5">
        <v>19.3</v>
      </c>
      <c r="T24" s="75">
        <v>18</v>
      </c>
      <c r="U24" s="76">
        <v>18.03</v>
      </c>
      <c r="V24" s="63">
        <f t="shared" si="17"/>
        <v>18.443333333333332</v>
      </c>
      <c r="W24" s="111">
        <f t="shared" si="18"/>
        <v>1678.3433333333332</v>
      </c>
      <c r="X24" s="64">
        <f>SUM(D24+E24+F24+I24+J24+K24+N24+O24+P24+S24+T24+U24)/12</f>
        <v>20.84416666666667</v>
      </c>
      <c r="Y24" s="65">
        <f t="shared" si="19"/>
        <v>7608.1208333333343</v>
      </c>
    </row>
    <row r="25" spans="1:25" ht="15" customHeight="1" thickBot="1" x14ac:dyDescent="0.3">
      <c r="A25" s="50" t="s">
        <v>134</v>
      </c>
      <c r="B25" s="890" t="s">
        <v>434</v>
      </c>
      <c r="C25" s="496" t="s">
        <v>103</v>
      </c>
      <c r="D25" s="5">
        <v>258</v>
      </c>
      <c r="E25" s="5">
        <v>236</v>
      </c>
      <c r="F25" s="5">
        <v>229</v>
      </c>
      <c r="G25" s="63">
        <f t="shared" si="11"/>
        <v>241</v>
      </c>
      <c r="H25" s="108">
        <f t="shared" si="12"/>
        <v>22172</v>
      </c>
      <c r="I25" s="5">
        <v>226</v>
      </c>
      <c r="J25" s="5">
        <v>222</v>
      </c>
      <c r="K25" s="5">
        <v>212</v>
      </c>
      <c r="L25" s="63">
        <f t="shared" si="13"/>
        <v>220</v>
      </c>
      <c r="M25" s="108">
        <f t="shared" si="14"/>
        <v>20240</v>
      </c>
      <c r="N25" s="5">
        <v>204</v>
      </c>
      <c r="O25" s="75">
        <v>196</v>
      </c>
      <c r="P25" s="75">
        <v>199</v>
      </c>
      <c r="Q25" s="63">
        <f t="shared" si="15"/>
        <v>199.66666666666666</v>
      </c>
      <c r="R25" s="108">
        <f t="shared" si="16"/>
        <v>17970</v>
      </c>
      <c r="S25" s="5">
        <v>203</v>
      </c>
      <c r="T25" s="75">
        <v>212</v>
      </c>
      <c r="U25" s="76">
        <v>212</v>
      </c>
      <c r="V25" s="63">
        <f t="shared" si="17"/>
        <v>209</v>
      </c>
      <c r="W25" s="111">
        <f t="shared" si="18"/>
        <v>19019</v>
      </c>
      <c r="X25" s="64">
        <f>SUM(D25+E25+F25+I25+J25+K25+N25+O25+P25+S25+T25+U25)/12</f>
        <v>217.41666666666666</v>
      </c>
      <c r="Y25" s="65">
        <f t="shared" si="19"/>
        <v>79357.083333333328</v>
      </c>
    </row>
    <row r="26" spans="1:25" ht="15" customHeight="1" thickBot="1" x14ac:dyDescent="0.3">
      <c r="A26" s="50" t="s">
        <v>339</v>
      </c>
      <c r="B26" s="890" t="s">
        <v>434</v>
      </c>
      <c r="C26" s="496" t="s">
        <v>103</v>
      </c>
      <c r="D26" s="5" t="s">
        <v>534</v>
      </c>
      <c r="E26" s="5" t="s">
        <v>534</v>
      </c>
      <c r="F26" s="5" t="s">
        <v>534</v>
      </c>
      <c r="G26" s="63">
        <f t="shared" si="11"/>
        <v>0</v>
      </c>
      <c r="H26" s="108">
        <f t="shared" si="12"/>
        <v>0</v>
      </c>
      <c r="I26" s="5" t="s">
        <v>534</v>
      </c>
      <c r="J26" s="5" t="s">
        <v>534</v>
      </c>
      <c r="K26" s="5" t="s">
        <v>534</v>
      </c>
      <c r="L26" s="63">
        <f t="shared" si="13"/>
        <v>0</v>
      </c>
      <c r="M26" s="108">
        <f t="shared" si="14"/>
        <v>0</v>
      </c>
      <c r="N26" s="5" t="s">
        <v>534</v>
      </c>
      <c r="O26" s="75" t="s">
        <v>534</v>
      </c>
      <c r="P26" s="75" t="s">
        <v>534</v>
      </c>
      <c r="Q26" s="63">
        <f t="shared" si="15"/>
        <v>0</v>
      </c>
      <c r="R26" s="108">
        <f t="shared" si="16"/>
        <v>0</v>
      </c>
      <c r="S26" s="5" t="s">
        <v>534</v>
      </c>
      <c r="T26" s="75" t="s">
        <v>534</v>
      </c>
      <c r="U26" s="76" t="s">
        <v>534</v>
      </c>
      <c r="V26" s="63">
        <f t="shared" si="17"/>
        <v>0</v>
      </c>
      <c r="W26" s="111">
        <f t="shared" si="18"/>
        <v>0</v>
      </c>
      <c r="X26" s="64">
        <v>0</v>
      </c>
      <c r="Y26" s="65">
        <f t="shared" si="19"/>
        <v>0</v>
      </c>
    </row>
    <row r="27" spans="1:25" ht="15" customHeight="1" thickBot="1" x14ac:dyDescent="0.3">
      <c r="A27" s="50" t="s">
        <v>137</v>
      </c>
      <c r="B27" s="890" t="s">
        <v>434</v>
      </c>
      <c r="C27" s="496" t="s">
        <v>103</v>
      </c>
      <c r="D27" s="5">
        <v>9</v>
      </c>
      <c r="E27" s="5">
        <v>10</v>
      </c>
      <c r="F27" s="5">
        <v>11</v>
      </c>
      <c r="G27" s="63">
        <f t="shared" si="11"/>
        <v>10</v>
      </c>
      <c r="H27" s="108">
        <f t="shared" si="12"/>
        <v>920</v>
      </c>
      <c r="I27" s="5">
        <v>11</v>
      </c>
      <c r="J27" s="5">
        <v>11</v>
      </c>
      <c r="K27" s="5">
        <v>11</v>
      </c>
      <c r="L27" s="63">
        <f t="shared" si="13"/>
        <v>11</v>
      </c>
      <c r="M27" s="108">
        <f t="shared" si="14"/>
        <v>1012</v>
      </c>
      <c r="N27" s="5">
        <v>11</v>
      </c>
      <c r="O27" s="75">
        <v>11</v>
      </c>
      <c r="P27" s="75">
        <v>11</v>
      </c>
      <c r="Q27" s="63">
        <f t="shared" si="15"/>
        <v>11</v>
      </c>
      <c r="R27" s="108">
        <f t="shared" si="16"/>
        <v>990</v>
      </c>
      <c r="S27" s="5">
        <v>11</v>
      </c>
      <c r="T27" s="75">
        <v>11</v>
      </c>
      <c r="U27" s="76">
        <v>11</v>
      </c>
      <c r="V27" s="63">
        <f t="shared" si="17"/>
        <v>11</v>
      </c>
      <c r="W27" s="112">
        <f t="shared" si="18"/>
        <v>1001</v>
      </c>
      <c r="X27" s="64">
        <f>SUM(D27+E27+F27+I27+J27+K27+N27+O27+P27+S27+T27+U27)/12</f>
        <v>10.75</v>
      </c>
      <c r="Y27" s="65">
        <f t="shared" si="19"/>
        <v>3923.75</v>
      </c>
    </row>
    <row r="28" spans="1:25" ht="15" customHeight="1" thickBot="1" x14ac:dyDescent="0.3">
      <c r="A28" s="53" t="s">
        <v>141</v>
      </c>
      <c r="B28" s="37"/>
      <c r="C28" s="37"/>
      <c r="D28" s="80">
        <f>SUM(D22:D27)</f>
        <v>666.58</v>
      </c>
      <c r="E28" s="80">
        <f>SUM(E22:E27)</f>
        <v>642.19000000000005</v>
      </c>
      <c r="F28" s="80">
        <f>SUM(F22:F27)</f>
        <v>631.87</v>
      </c>
      <c r="G28" s="68">
        <f t="shared" si="11"/>
        <v>646.88</v>
      </c>
      <c r="H28" s="108">
        <f t="shared" si="12"/>
        <v>59512.959999999999</v>
      </c>
      <c r="I28" s="94">
        <f>SUM(I22:I27)</f>
        <v>612.51</v>
      </c>
      <c r="J28" s="80">
        <f>SUM(J22:J27)</f>
        <v>576.66</v>
      </c>
      <c r="K28" s="80">
        <f>SUM(K22:K27)</f>
        <v>540.35</v>
      </c>
      <c r="L28" s="68">
        <f t="shared" si="13"/>
        <v>576.50666666666666</v>
      </c>
      <c r="M28" s="119">
        <f t="shared" si="14"/>
        <v>53038.613333333335</v>
      </c>
      <c r="N28" s="94">
        <f>SUM(N22:N27)</f>
        <v>504.70000000000005</v>
      </c>
      <c r="O28" s="80">
        <f>SUM(O22:O27)</f>
        <v>554.04</v>
      </c>
      <c r="P28" s="80">
        <f>SUM(P22:P27)</f>
        <v>558.6099999999999</v>
      </c>
      <c r="Q28" s="68">
        <f t="shared" si="15"/>
        <v>539.11666666666667</v>
      </c>
      <c r="R28" s="108">
        <f t="shared" si="16"/>
        <v>48520.5</v>
      </c>
      <c r="S28" s="94">
        <f>SUM(S22:S27)</f>
        <v>540.03</v>
      </c>
      <c r="T28" s="80">
        <f>SUM(T22:T27)</f>
        <v>527.19000000000005</v>
      </c>
      <c r="U28" s="81">
        <f>SUM(U22:U27)</f>
        <v>527.22</v>
      </c>
      <c r="V28" s="68">
        <f t="shared" si="17"/>
        <v>531.48</v>
      </c>
      <c r="W28" s="120">
        <f t="shared" si="18"/>
        <v>48364.68</v>
      </c>
      <c r="X28" s="69">
        <f>SUM(X22:X27)</f>
        <v>573.49583333333328</v>
      </c>
      <c r="Y28" s="69">
        <f>SUM(Y22:Y27)</f>
        <v>209325.97916666666</v>
      </c>
    </row>
    <row r="29" spans="1:25" ht="15" customHeight="1" thickBot="1" x14ac:dyDescent="0.3">
      <c r="A29" s="54" t="s">
        <v>145</v>
      </c>
      <c r="B29" s="38"/>
      <c r="C29" s="38"/>
      <c r="D29" s="80">
        <f>D20+D28</f>
        <v>4924.58</v>
      </c>
      <c r="E29" s="80">
        <f>E20+E28</f>
        <v>4925.2900000000009</v>
      </c>
      <c r="F29" s="80">
        <f>F20+F28+1</f>
        <v>4941.37</v>
      </c>
      <c r="G29" s="80">
        <f>G20+G28</f>
        <v>4930.08</v>
      </c>
      <c r="H29" s="68">
        <f>SUM(H20+H28)</f>
        <v>453567.36</v>
      </c>
      <c r="I29" s="80">
        <f>I20+I28+1</f>
        <v>4977.8100000000004</v>
      </c>
      <c r="J29" s="80">
        <f>J20+J28+1</f>
        <v>4910.16</v>
      </c>
      <c r="K29" s="80">
        <f>K20+K28</f>
        <v>4851.25</v>
      </c>
      <c r="L29" s="120">
        <f t="shared" si="13"/>
        <v>4913.0733333333337</v>
      </c>
      <c r="M29" s="68">
        <f>SUM(M20+M28)</f>
        <v>451941.41333333333</v>
      </c>
      <c r="N29" s="94">
        <f>N20+N28</f>
        <v>4812.6000000000004</v>
      </c>
      <c r="O29" s="80">
        <f>O20+O28</f>
        <v>4856.9400000000005</v>
      </c>
      <c r="P29" s="80">
        <f>P20+P28</f>
        <v>4814.6099999999997</v>
      </c>
      <c r="Q29" s="99">
        <f t="shared" si="15"/>
        <v>4828.05</v>
      </c>
      <c r="R29" s="68">
        <f>SUM(R20+R28)</f>
        <v>434524.5</v>
      </c>
      <c r="S29" s="94">
        <f>S20+S28</f>
        <v>4801.63</v>
      </c>
      <c r="T29" s="80">
        <f>T20+T28</f>
        <v>4757.2899999999991</v>
      </c>
      <c r="U29" s="81">
        <f>U20+U28</f>
        <v>4774.7199999999993</v>
      </c>
      <c r="V29" s="99">
        <f t="shared" si="17"/>
        <v>4777.8799999999992</v>
      </c>
      <c r="W29" s="68">
        <f>SUM(W20+W28)</f>
        <v>434787.08</v>
      </c>
      <c r="X29" s="80">
        <f>X20+X28</f>
        <v>4862.104166666667</v>
      </c>
      <c r="Y29" s="82">
        <f>Y20+Y28</f>
        <v>1774698.4375</v>
      </c>
    </row>
    <row r="30" spans="1:25" ht="15" customHeight="1" x14ac:dyDescent="0.25">
      <c r="A30" s="114"/>
      <c r="B30" s="19"/>
      <c r="C30" s="19"/>
      <c r="D30" s="115"/>
      <c r="E30" s="115"/>
      <c r="F30" s="115"/>
      <c r="G30" s="115"/>
      <c r="H30" s="113"/>
      <c r="I30" s="115"/>
      <c r="J30" s="115"/>
      <c r="K30" s="115"/>
      <c r="L30" s="139"/>
      <c r="M30" s="113"/>
      <c r="N30" s="115"/>
      <c r="O30" s="115"/>
      <c r="P30" s="115"/>
      <c r="Q30" s="93"/>
      <c r="R30" s="113"/>
      <c r="S30" s="115"/>
      <c r="T30" s="115"/>
      <c r="U30" s="115"/>
      <c r="V30" s="93"/>
      <c r="W30" s="113"/>
      <c r="X30" s="115"/>
      <c r="Y30" s="115"/>
    </row>
    <row r="31" spans="1:25" ht="15" customHeight="1" x14ac:dyDescent="0.2"/>
    <row r="32" spans="1:25" ht="15" customHeight="1" thickBot="1" x14ac:dyDescent="0.25">
      <c r="A32" s="45" t="s">
        <v>144</v>
      </c>
      <c r="B32" s="10"/>
      <c r="C32" s="10"/>
      <c r="D32" s="13"/>
      <c r="E32" s="13"/>
      <c r="F32" s="13"/>
      <c r="G32" s="13"/>
      <c r="H32" s="13"/>
      <c r="I32" s="13"/>
      <c r="J32" s="13"/>
      <c r="K32" s="13"/>
      <c r="L32" s="13"/>
      <c r="M32" s="13"/>
      <c r="N32" s="13"/>
      <c r="O32" s="13"/>
      <c r="P32" s="13"/>
      <c r="Q32" s="13"/>
      <c r="R32" s="13"/>
      <c r="S32" s="13"/>
      <c r="T32" s="13"/>
      <c r="U32" s="13"/>
      <c r="V32" s="13"/>
      <c r="W32" s="13"/>
      <c r="X32" s="13"/>
      <c r="Y32" s="13"/>
    </row>
    <row r="33" spans="1:26" ht="15" customHeight="1" thickBot="1" x14ac:dyDescent="0.3">
      <c r="A33" s="829" t="s">
        <v>783</v>
      </c>
      <c r="B33" s="1045" t="s">
        <v>142</v>
      </c>
      <c r="C33" s="1046"/>
      <c r="D33" s="1046"/>
      <c r="E33" s="1046"/>
      <c r="F33" s="1046"/>
      <c r="G33" s="1046"/>
      <c r="H33" s="1046"/>
      <c r="I33" s="1046"/>
      <c r="J33" s="1046"/>
      <c r="K33" s="1046"/>
      <c r="L33" s="1046"/>
      <c r="M33" s="1046"/>
      <c r="N33" s="1046"/>
      <c r="O33" s="1046"/>
      <c r="P33" s="1046"/>
      <c r="Q33" s="1046"/>
      <c r="R33" s="1046"/>
      <c r="S33" s="1046"/>
      <c r="T33" s="1046"/>
      <c r="U33" s="1046"/>
      <c r="V33" s="39"/>
      <c r="W33" s="39"/>
      <c r="X33" s="92"/>
      <c r="Y33" s="13"/>
    </row>
    <row r="34" spans="1:26" ht="15" customHeight="1" x14ac:dyDescent="0.25">
      <c r="A34" s="56"/>
      <c r="B34" s="40" t="s">
        <v>566</v>
      </c>
      <c r="C34" s="1043" t="s">
        <v>567</v>
      </c>
      <c r="D34" s="57"/>
      <c r="E34" s="58"/>
      <c r="F34" s="58"/>
      <c r="G34" s="1047" t="s">
        <v>242</v>
      </c>
      <c r="H34" s="1049" t="s">
        <v>262</v>
      </c>
      <c r="I34" s="58"/>
      <c r="J34" s="58"/>
      <c r="K34" s="58"/>
      <c r="L34" s="1047" t="s">
        <v>242</v>
      </c>
      <c r="M34" s="1049" t="s">
        <v>262</v>
      </c>
      <c r="N34" s="58"/>
      <c r="O34" s="58"/>
      <c r="P34" s="58"/>
      <c r="Q34" s="1047" t="s">
        <v>242</v>
      </c>
      <c r="R34" s="1039" t="s">
        <v>262</v>
      </c>
      <c r="S34" s="58"/>
      <c r="T34" s="58"/>
      <c r="U34" s="59"/>
      <c r="V34" s="1047" t="s">
        <v>242</v>
      </c>
      <c r="W34" s="1039" t="s">
        <v>262</v>
      </c>
      <c r="X34" s="1041" t="s">
        <v>143</v>
      </c>
      <c r="Y34" s="1043" t="s">
        <v>144</v>
      </c>
    </row>
    <row r="35" spans="1:26" ht="15" customHeight="1" thickBot="1" x14ac:dyDescent="0.3">
      <c r="A35" s="47" t="s">
        <v>55</v>
      </c>
      <c r="B35" s="41" t="s">
        <v>568</v>
      </c>
      <c r="C35" s="1044"/>
      <c r="D35" s="60">
        <v>42552</v>
      </c>
      <c r="E35" s="61">
        <v>42583</v>
      </c>
      <c r="F35" s="61">
        <v>42614</v>
      </c>
      <c r="G35" s="1048"/>
      <c r="H35" s="1050"/>
      <c r="I35" s="61">
        <v>42644</v>
      </c>
      <c r="J35" s="61">
        <v>42675</v>
      </c>
      <c r="K35" s="61">
        <v>42705</v>
      </c>
      <c r="L35" s="1048"/>
      <c r="M35" s="1050"/>
      <c r="N35" s="61">
        <v>42736</v>
      </c>
      <c r="O35" s="61">
        <v>42767</v>
      </c>
      <c r="P35" s="61">
        <v>42795</v>
      </c>
      <c r="Q35" s="1048"/>
      <c r="R35" s="1040"/>
      <c r="S35" s="61">
        <v>42826</v>
      </c>
      <c r="T35" s="61">
        <v>42856</v>
      </c>
      <c r="U35" s="62">
        <v>42887</v>
      </c>
      <c r="V35" s="1048"/>
      <c r="W35" s="1040"/>
      <c r="X35" s="1042"/>
      <c r="Y35" s="1044"/>
    </row>
    <row r="36" spans="1:26" ht="15" customHeight="1" thickBot="1" x14ac:dyDescent="0.3">
      <c r="A36" s="48" t="s">
        <v>294</v>
      </c>
      <c r="B36" s="42">
        <v>863</v>
      </c>
      <c r="C36" s="42">
        <v>829</v>
      </c>
      <c r="D36" s="125">
        <v>822.4</v>
      </c>
      <c r="E36" s="125">
        <v>823</v>
      </c>
      <c r="F36" s="117">
        <v>813</v>
      </c>
      <c r="G36" s="63">
        <f t="shared" ref="G36:G45" si="20">SUM(D36:F36)/3</f>
        <v>819.4666666666667</v>
      </c>
      <c r="H36" s="108">
        <f>G36*92</f>
        <v>75390.933333333334</v>
      </c>
      <c r="I36" s="117">
        <v>973</v>
      </c>
      <c r="J36" s="117">
        <v>874.1</v>
      </c>
      <c r="K36" s="117">
        <v>860.7</v>
      </c>
      <c r="L36" s="63">
        <f>SUM(I36:K36)/3</f>
        <v>902.6</v>
      </c>
      <c r="M36" s="108">
        <f>L36*92</f>
        <v>83039.199999999997</v>
      </c>
      <c r="N36" s="117">
        <v>845.2</v>
      </c>
      <c r="O36" s="85">
        <v>844.3</v>
      </c>
      <c r="P36" s="85">
        <v>863</v>
      </c>
      <c r="Q36" s="63">
        <f>SUM(N36:P36)/3</f>
        <v>850.83333333333337</v>
      </c>
      <c r="R36" s="108">
        <f>Q36*90</f>
        <v>76575</v>
      </c>
      <c r="S36" s="117">
        <v>857</v>
      </c>
      <c r="T36" s="85">
        <v>868.2</v>
      </c>
      <c r="U36" s="135">
        <v>862.5</v>
      </c>
      <c r="V36" s="63">
        <f>SUM(S36:U36)/3</f>
        <v>862.56666666666661</v>
      </c>
      <c r="W36" s="111">
        <f>V36*91</f>
        <v>78493.566666666666</v>
      </c>
      <c r="X36" s="64">
        <f>SUM(D36+E36+F36+I36+J36+K36+N36+O36+P36+S36+T36+U36)/12</f>
        <v>858.86666666666679</v>
      </c>
      <c r="Y36" s="65">
        <f>X36*365</f>
        <v>313486.33333333337</v>
      </c>
    </row>
    <row r="37" spans="1:26" ht="15" customHeight="1" thickBot="1" x14ac:dyDescent="0.3">
      <c r="A37" s="49" t="s">
        <v>127</v>
      </c>
      <c r="B37" s="42">
        <v>128</v>
      </c>
      <c r="C37" s="42">
        <v>126</v>
      </c>
      <c r="D37" s="126">
        <v>107.5</v>
      </c>
      <c r="E37" s="126">
        <v>98</v>
      </c>
      <c r="F37" s="118">
        <v>100</v>
      </c>
      <c r="G37" s="63">
        <f t="shared" si="20"/>
        <v>101.83333333333333</v>
      </c>
      <c r="H37" s="108">
        <f>G37*92</f>
        <v>9368.6666666666661</v>
      </c>
      <c r="I37" s="118">
        <v>100</v>
      </c>
      <c r="J37" s="118">
        <v>104</v>
      </c>
      <c r="K37" s="118">
        <v>105.1</v>
      </c>
      <c r="L37" s="63">
        <f>SUM(I37:K37)/3</f>
        <v>103.03333333333335</v>
      </c>
      <c r="M37" s="108">
        <f>L37*92</f>
        <v>9479.0666666666675</v>
      </c>
      <c r="N37" s="118">
        <v>97</v>
      </c>
      <c r="O37" s="86">
        <v>105.9</v>
      </c>
      <c r="P37" s="86">
        <v>111.3</v>
      </c>
      <c r="Q37" s="63">
        <f>SUM(N37:P37)/3</f>
        <v>104.73333333333333</v>
      </c>
      <c r="R37" s="108">
        <f>Q37*90</f>
        <v>9426</v>
      </c>
      <c r="S37" s="118">
        <v>105</v>
      </c>
      <c r="T37" s="86">
        <v>100.6</v>
      </c>
      <c r="U37" s="89">
        <v>111</v>
      </c>
      <c r="V37" s="63">
        <f>SUM(S37:U37)/3</f>
        <v>105.53333333333335</v>
      </c>
      <c r="W37" s="111">
        <f>V37*91</f>
        <v>9603.5333333333347</v>
      </c>
      <c r="X37" s="64">
        <f t="shared" ref="X37:X43" si="21">SUM(D37+E37+F37+I37+J37+K37+N37+O37+P37+S37+T37+U37)/12</f>
        <v>103.78333333333332</v>
      </c>
      <c r="Y37" s="65">
        <f t="shared" ref="Y37:Y43" si="22">X37*365</f>
        <v>37880.916666666664</v>
      </c>
    </row>
    <row r="38" spans="1:26" ht="15" customHeight="1" thickBot="1" x14ac:dyDescent="0.3">
      <c r="A38" s="50" t="s">
        <v>319</v>
      </c>
      <c r="B38" s="42">
        <v>259</v>
      </c>
      <c r="C38" s="42">
        <v>248</v>
      </c>
      <c r="D38" s="4">
        <v>288.89999999999998</v>
      </c>
      <c r="E38" s="4">
        <v>284</v>
      </c>
      <c r="F38" s="3">
        <v>262</v>
      </c>
      <c r="G38" s="63">
        <f t="shared" si="20"/>
        <v>278.3</v>
      </c>
      <c r="H38" s="108">
        <f>G38*92</f>
        <v>25603.600000000002</v>
      </c>
      <c r="I38" s="3">
        <v>252</v>
      </c>
      <c r="J38" s="3">
        <v>240.2</v>
      </c>
      <c r="K38" s="3">
        <v>242.9</v>
      </c>
      <c r="L38" s="63">
        <f>SUM(I38:K38)/3</f>
        <v>245.03333333333333</v>
      </c>
      <c r="M38" s="108">
        <f>L38*92</f>
        <v>22543.066666666666</v>
      </c>
      <c r="N38" s="3">
        <v>255.4</v>
      </c>
      <c r="O38" s="87">
        <v>262</v>
      </c>
      <c r="P38" s="87">
        <v>270.8</v>
      </c>
      <c r="Q38" s="63">
        <f>SUM(N38:P38)/3</f>
        <v>262.73333333333335</v>
      </c>
      <c r="R38" s="108">
        <f>Q38*90</f>
        <v>23646</v>
      </c>
      <c r="S38" s="3">
        <v>283</v>
      </c>
      <c r="T38" s="87">
        <v>294.5</v>
      </c>
      <c r="U38" s="90">
        <v>289.8</v>
      </c>
      <c r="V38" s="63">
        <f>SUM(S38:U38)/3</f>
        <v>289.09999999999997</v>
      </c>
      <c r="W38" s="111">
        <f>V38*91</f>
        <v>26308.1</v>
      </c>
      <c r="X38" s="64">
        <f t="shared" si="21"/>
        <v>268.79166666666674</v>
      </c>
      <c r="Y38" s="65">
        <f t="shared" si="22"/>
        <v>98108.958333333358</v>
      </c>
    </row>
    <row r="39" spans="1:26" ht="15" customHeight="1" thickBot="1" x14ac:dyDescent="0.3">
      <c r="A39" s="50" t="s">
        <v>436</v>
      </c>
      <c r="B39" s="42">
        <v>1472</v>
      </c>
      <c r="C39" s="42">
        <v>1408</v>
      </c>
      <c r="D39" s="4">
        <v>1145.8</v>
      </c>
      <c r="E39" s="4">
        <v>1238</v>
      </c>
      <c r="F39" s="3">
        <v>1268</v>
      </c>
      <c r="G39" s="63">
        <f t="shared" si="20"/>
        <v>1217.2666666666667</v>
      </c>
      <c r="H39" s="108">
        <f>G39*92</f>
        <v>111988.53333333333</v>
      </c>
      <c r="I39" s="3">
        <v>1311</v>
      </c>
      <c r="J39" s="3">
        <v>1334.8</v>
      </c>
      <c r="K39" s="3">
        <v>1326.3</v>
      </c>
      <c r="L39" s="63">
        <f>SUM(I39:K39)/3</f>
        <v>1324.0333333333335</v>
      </c>
      <c r="M39" s="108">
        <f>L39*92</f>
        <v>121811.06666666668</v>
      </c>
      <c r="N39" s="3">
        <v>1271.3</v>
      </c>
      <c r="O39" s="87">
        <v>1250</v>
      </c>
      <c r="P39" s="87">
        <v>1242.9000000000001</v>
      </c>
      <c r="Q39" s="63">
        <f>SUM(N39:P39)/3</f>
        <v>1254.7333333333333</v>
      </c>
      <c r="R39" s="108">
        <f>Q39*90</f>
        <v>112926</v>
      </c>
      <c r="S39" s="3">
        <v>1257</v>
      </c>
      <c r="T39" s="87">
        <v>1240.5999999999999</v>
      </c>
      <c r="U39" s="90">
        <v>1295.5999999999999</v>
      </c>
      <c r="V39" s="63">
        <f>SUM(S39:U39)/3</f>
        <v>1264.3999999999999</v>
      </c>
      <c r="W39" s="111">
        <f>V39*91</f>
        <v>115060.4</v>
      </c>
      <c r="X39" s="64">
        <f t="shared" si="21"/>
        <v>1265.1083333333333</v>
      </c>
      <c r="Y39" s="65">
        <f t="shared" si="22"/>
        <v>461764.54166666669</v>
      </c>
    </row>
    <row r="40" spans="1:26" ht="15" customHeight="1" thickBot="1" x14ac:dyDescent="0.3">
      <c r="A40" s="51" t="s">
        <v>259</v>
      </c>
      <c r="B40" s="42">
        <v>404</v>
      </c>
      <c r="C40" s="42">
        <v>395</v>
      </c>
      <c r="D40" s="4">
        <v>348.5</v>
      </c>
      <c r="E40" s="4">
        <v>349</v>
      </c>
      <c r="F40" s="3">
        <v>347</v>
      </c>
      <c r="G40" s="63">
        <f t="shared" si="20"/>
        <v>348.16666666666669</v>
      </c>
      <c r="H40" s="108">
        <f t="shared" ref="H40:H49" si="23">G40*92</f>
        <v>32031.333333333336</v>
      </c>
      <c r="I40" s="3">
        <v>325</v>
      </c>
      <c r="J40" s="3">
        <v>304.89999999999998</v>
      </c>
      <c r="K40" s="3">
        <v>291.60000000000002</v>
      </c>
      <c r="L40" s="63">
        <f t="shared" ref="L40:L50" si="24">SUM(I40:K40)/3</f>
        <v>307.16666666666669</v>
      </c>
      <c r="M40" s="108">
        <f t="shared" ref="M40:M50" si="25">L40*92</f>
        <v>28259.333333333336</v>
      </c>
      <c r="N40" s="3">
        <v>275.39999999999998</v>
      </c>
      <c r="O40" s="87">
        <v>264</v>
      </c>
      <c r="P40" s="87">
        <v>267.5</v>
      </c>
      <c r="Q40" s="63">
        <f t="shared" ref="Q40:Q50" si="26">SUM(N40:P40)/3</f>
        <v>268.96666666666664</v>
      </c>
      <c r="R40" s="108">
        <f t="shared" ref="R40:R50" si="27">Q40*90</f>
        <v>24206.999999999996</v>
      </c>
      <c r="S40" s="3">
        <v>269</v>
      </c>
      <c r="T40" s="87">
        <v>297.89999999999998</v>
      </c>
      <c r="U40" s="90">
        <v>298.10000000000002</v>
      </c>
      <c r="V40" s="63">
        <f t="shared" ref="V40:V50" si="28">SUM(S40:U40)/3</f>
        <v>288.33333333333331</v>
      </c>
      <c r="W40" s="111">
        <f t="shared" ref="W40:W50" si="29">V40*91</f>
        <v>26238.333333333332</v>
      </c>
      <c r="X40" s="64">
        <f t="shared" si="21"/>
        <v>303.15833333333336</v>
      </c>
      <c r="Y40" s="65">
        <f t="shared" si="22"/>
        <v>110652.79166666667</v>
      </c>
    </row>
    <row r="41" spans="1:26" ht="15" customHeight="1" thickBot="1" x14ac:dyDescent="0.3">
      <c r="A41" s="50" t="s">
        <v>15</v>
      </c>
      <c r="B41" s="42">
        <v>58</v>
      </c>
      <c r="C41" s="42">
        <v>52</v>
      </c>
      <c r="D41" s="4">
        <v>50</v>
      </c>
      <c r="E41" s="4">
        <v>50</v>
      </c>
      <c r="F41" s="3">
        <v>47</v>
      </c>
      <c r="G41" s="63">
        <f t="shared" si="20"/>
        <v>49</v>
      </c>
      <c r="H41" s="108">
        <f t="shared" si="23"/>
        <v>4508</v>
      </c>
      <c r="I41" s="3">
        <v>53</v>
      </c>
      <c r="J41" s="3">
        <v>49</v>
      </c>
      <c r="K41" s="3">
        <v>46.1</v>
      </c>
      <c r="L41" s="63">
        <f t="shared" si="24"/>
        <v>49.366666666666667</v>
      </c>
      <c r="M41" s="108">
        <f t="shared" si="25"/>
        <v>4541.7333333333336</v>
      </c>
      <c r="N41" s="3">
        <v>46.1</v>
      </c>
      <c r="O41" s="87">
        <v>55</v>
      </c>
      <c r="P41" s="87">
        <v>58</v>
      </c>
      <c r="Q41" s="63">
        <f t="shared" si="26"/>
        <v>53.033333333333331</v>
      </c>
      <c r="R41" s="108">
        <f t="shared" si="27"/>
        <v>4773</v>
      </c>
      <c r="S41" s="3">
        <v>56</v>
      </c>
      <c r="T41" s="87">
        <v>56.5</v>
      </c>
      <c r="U41" s="90">
        <v>51.8</v>
      </c>
      <c r="V41" s="63">
        <f t="shared" si="28"/>
        <v>54.766666666666673</v>
      </c>
      <c r="W41" s="111">
        <f t="shared" si="29"/>
        <v>4983.7666666666673</v>
      </c>
      <c r="X41" s="64">
        <f t="shared" si="21"/>
        <v>51.541666666666664</v>
      </c>
      <c r="Y41" s="65">
        <f t="shared" si="22"/>
        <v>18812.708333333332</v>
      </c>
    </row>
    <row r="42" spans="1:26" ht="15" customHeight="1" thickBot="1" x14ac:dyDescent="0.3">
      <c r="A42" s="50" t="s">
        <v>16</v>
      </c>
      <c r="B42" s="42">
        <v>232</v>
      </c>
      <c r="C42" s="42">
        <v>226</v>
      </c>
      <c r="D42" s="4">
        <v>216.2</v>
      </c>
      <c r="E42" s="4">
        <v>220</v>
      </c>
      <c r="F42" s="3">
        <v>229</v>
      </c>
      <c r="G42" s="63">
        <f t="shared" si="20"/>
        <v>221.73333333333335</v>
      </c>
      <c r="H42" s="108">
        <f t="shared" si="23"/>
        <v>20399.466666666667</v>
      </c>
      <c r="I42" s="3">
        <v>230</v>
      </c>
      <c r="J42" s="3">
        <v>216</v>
      </c>
      <c r="K42" s="3">
        <v>216.8</v>
      </c>
      <c r="L42" s="63">
        <f t="shared" si="24"/>
        <v>220.93333333333331</v>
      </c>
      <c r="M42" s="108">
        <f t="shared" si="25"/>
        <v>20325.866666666665</v>
      </c>
      <c r="N42" s="3">
        <v>208.4</v>
      </c>
      <c r="O42" s="87">
        <v>202</v>
      </c>
      <c r="P42" s="87">
        <v>195.3</v>
      </c>
      <c r="Q42" s="63">
        <f t="shared" si="26"/>
        <v>201.9</v>
      </c>
      <c r="R42" s="108">
        <f t="shared" si="27"/>
        <v>18171</v>
      </c>
      <c r="S42" s="3">
        <v>208</v>
      </c>
      <c r="T42" s="87">
        <v>205.1</v>
      </c>
      <c r="U42" s="90">
        <v>193.5</v>
      </c>
      <c r="V42" s="63">
        <f t="shared" si="28"/>
        <v>202.20000000000002</v>
      </c>
      <c r="W42" s="111">
        <f t="shared" si="29"/>
        <v>18400.2</v>
      </c>
      <c r="X42" s="64">
        <f t="shared" si="21"/>
        <v>211.69166666666663</v>
      </c>
      <c r="Y42" s="65">
        <f t="shared" si="22"/>
        <v>77267.458333333328</v>
      </c>
    </row>
    <row r="43" spans="1:26" ht="15" customHeight="1" thickBot="1" x14ac:dyDescent="0.3">
      <c r="A43" s="50" t="s">
        <v>129</v>
      </c>
      <c r="B43" s="42">
        <v>102</v>
      </c>
      <c r="C43" s="42">
        <v>98</v>
      </c>
      <c r="D43" s="4">
        <v>101.3</v>
      </c>
      <c r="E43" s="4">
        <v>100</v>
      </c>
      <c r="F43" s="3">
        <v>91</v>
      </c>
      <c r="G43" s="63">
        <f t="shared" si="20"/>
        <v>97.433333333333337</v>
      </c>
      <c r="H43" s="108">
        <f t="shared" si="23"/>
        <v>8963.8666666666668</v>
      </c>
      <c r="I43" s="3">
        <v>102</v>
      </c>
      <c r="J43" s="3">
        <v>101.5</v>
      </c>
      <c r="K43" s="3">
        <v>98.4</v>
      </c>
      <c r="L43" s="63">
        <f t="shared" si="24"/>
        <v>100.63333333333333</v>
      </c>
      <c r="M43" s="108">
        <f t="shared" si="25"/>
        <v>9258.2666666666664</v>
      </c>
      <c r="N43" s="3">
        <v>87.8</v>
      </c>
      <c r="O43" s="87">
        <v>89</v>
      </c>
      <c r="P43" s="87">
        <v>98.2</v>
      </c>
      <c r="Q43" s="63">
        <f t="shared" si="26"/>
        <v>91.666666666666671</v>
      </c>
      <c r="R43" s="108">
        <f t="shared" si="27"/>
        <v>8250</v>
      </c>
      <c r="S43" s="3">
        <v>90</v>
      </c>
      <c r="T43" s="87">
        <v>92</v>
      </c>
      <c r="U43" s="90">
        <v>93.3</v>
      </c>
      <c r="V43" s="63">
        <f t="shared" si="28"/>
        <v>91.766666666666666</v>
      </c>
      <c r="W43" s="111">
        <f t="shared" si="29"/>
        <v>8350.7666666666664</v>
      </c>
      <c r="X43" s="64">
        <f t="shared" si="21"/>
        <v>95.375</v>
      </c>
      <c r="Y43" s="65">
        <f t="shared" si="22"/>
        <v>34811.875</v>
      </c>
    </row>
    <row r="44" spans="1:26" ht="15" customHeight="1" thickBot="1" x14ac:dyDescent="0.3">
      <c r="A44" s="51" t="s">
        <v>260</v>
      </c>
      <c r="B44" s="42">
        <f>338+176</f>
        <v>514</v>
      </c>
      <c r="C44" s="42">
        <f>327+176</f>
        <v>503</v>
      </c>
      <c r="D44" s="4">
        <f>302+175.7</f>
        <v>477.7</v>
      </c>
      <c r="E44" s="4">
        <f>298+59</f>
        <v>357</v>
      </c>
      <c r="F44" s="3">
        <v>279</v>
      </c>
      <c r="G44" s="63">
        <f t="shared" si="20"/>
        <v>371.23333333333335</v>
      </c>
      <c r="H44" s="108">
        <f t="shared" si="23"/>
        <v>34153.466666666667</v>
      </c>
      <c r="I44" s="3">
        <v>110</v>
      </c>
      <c r="J44" s="3">
        <v>0</v>
      </c>
      <c r="K44" s="3">
        <v>0</v>
      </c>
      <c r="L44" s="63">
        <f t="shared" si="24"/>
        <v>36.666666666666664</v>
      </c>
      <c r="M44" s="108">
        <f t="shared" si="25"/>
        <v>3373.333333333333</v>
      </c>
      <c r="N44" s="3">
        <v>0</v>
      </c>
      <c r="O44" s="87">
        <v>0</v>
      </c>
      <c r="P44" s="87">
        <v>0</v>
      </c>
      <c r="Q44" s="63">
        <f t="shared" si="26"/>
        <v>0</v>
      </c>
      <c r="R44" s="108">
        <f t="shared" si="27"/>
        <v>0</v>
      </c>
      <c r="S44" s="3">
        <v>0</v>
      </c>
      <c r="T44" s="87">
        <v>0</v>
      </c>
      <c r="U44" s="90">
        <v>0</v>
      </c>
      <c r="V44" s="63">
        <f t="shared" si="28"/>
        <v>0</v>
      </c>
      <c r="W44" s="111">
        <f t="shared" si="29"/>
        <v>0</v>
      </c>
      <c r="X44" s="886">
        <f>SUM(D44+E44+F44+I44+J44+K44+N44+O44+P44+S44+T44+U44)/4</f>
        <v>305.92500000000001</v>
      </c>
      <c r="Y44" s="885">
        <f>X44*123</f>
        <v>37628.775000000001</v>
      </c>
      <c r="Z44" s="683" t="s">
        <v>821</v>
      </c>
    </row>
    <row r="45" spans="1:26" ht="15" customHeight="1" thickBot="1" x14ac:dyDescent="0.3">
      <c r="A45" s="50" t="s">
        <v>138</v>
      </c>
      <c r="B45" s="42">
        <v>128</v>
      </c>
      <c r="C45" s="42">
        <v>50</v>
      </c>
      <c r="D45" s="4">
        <v>52.8</v>
      </c>
      <c r="E45" s="4">
        <v>54</v>
      </c>
      <c r="F45" s="4">
        <v>57</v>
      </c>
      <c r="G45" s="63">
        <f t="shared" si="20"/>
        <v>54.6</v>
      </c>
      <c r="H45" s="108">
        <f t="shared" si="23"/>
        <v>5023.2</v>
      </c>
      <c r="I45" s="3">
        <v>69</v>
      </c>
      <c r="J45" s="4">
        <v>108.9</v>
      </c>
      <c r="K45" s="4">
        <v>125.3</v>
      </c>
      <c r="L45" s="63">
        <f t="shared" si="24"/>
        <v>101.06666666666666</v>
      </c>
      <c r="M45" s="108">
        <f t="shared" si="25"/>
        <v>9298.1333333333332</v>
      </c>
      <c r="N45" s="4">
        <v>125</v>
      </c>
      <c r="O45" s="4">
        <v>125</v>
      </c>
      <c r="P45" s="4">
        <v>123.2</v>
      </c>
      <c r="Q45" s="63">
        <f t="shared" si="26"/>
        <v>124.39999999999999</v>
      </c>
      <c r="R45" s="108">
        <f t="shared" si="27"/>
        <v>11196</v>
      </c>
      <c r="S45" s="4">
        <v>119</v>
      </c>
      <c r="T45" s="4">
        <v>110.8</v>
      </c>
      <c r="U45" s="4">
        <v>88</v>
      </c>
      <c r="V45" s="63">
        <f t="shared" si="28"/>
        <v>105.93333333333334</v>
      </c>
      <c r="W45" s="111">
        <f t="shared" si="29"/>
        <v>9639.9333333333343</v>
      </c>
      <c r="X45" s="64">
        <f>SUM(D45+E45+F45+I45+J45+K45+N45+O45+P45+S45+T45+U45)/12</f>
        <v>96.5</v>
      </c>
      <c r="Y45" s="65">
        <f>X45*365</f>
        <v>35222.5</v>
      </c>
    </row>
    <row r="46" spans="1:26" ht="15" customHeight="1" thickBot="1" x14ac:dyDescent="0.3">
      <c r="A46" s="49" t="s">
        <v>19</v>
      </c>
      <c r="B46" s="42">
        <v>551</v>
      </c>
      <c r="C46" s="42">
        <v>535</v>
      </c>
      <c r="D46" s="126">
        <v>523.6</v>
      </c>
      <c r="E46" s="126">
        <v>516</v>
      </c>
      <c r="F46" s="118">
        <v>518</v>
      </c>
      <c r="G46" s="63">
        <f>SUM(D46:F46)/3</f>
        <v>519.19999999999993</v>
      </c>
      <c r="H46" s="108">
        <f t="shared" si="23"/>
        <v>47766.399999999994</v>
      </c>
      <c r="I46" s="118">
        <v>520</v>
      </c>
      <c r="J46" s="3">
        <v>494.8</v>
      </c>
      <c r="K46" s="118">
        <v>491.1</v>
      </c>
      <c r="L46" s="63">
        <f t="shared" si="24"/>
        <v>501.9666666666667</v>
      </c>
      <c r="M46" s="111">
        <f t="shared" si="25"/>
        <v>46180.933333333334</v>
      </c>
      <c r="N46" s="3">
        <v>484</v>
      </c>
      <c r="O46" s="86">
        <v>491</v>
      </c>
      <c r="P46" s="86">
        <v>485.5</v>
      </c>
      <c r="Q46" s="63">
        <f t="shared" si="26"/>
        <v>486.83333333333331</v>
      </c>
      <c r="R46" s="108">
        <f t="shared" si="27"/>
        <v>43815</v>
      </c>
      <c r="S46" s="3">
        <v>485</v>
      </c>
      <c r="T46" s="86">
        <v>463</v>
      </c>
      <c r="U46" s="89">
        <v>396.9</v>
      </c>
      <c r="V46" s="63">
        <f t="shared" si="28"/>
        <v>448.3</v>
      </c>
      <c r="W46" s="111">
        <f t="shared" si="29"/>
        <v>40795.300000000003</v>
      </c>
      <c r="X46" s="64">
        <f>SUM(D46+E46+F46+I46+J46+K46+N46+O46+P46+S46+T46+U46)/12</f>
        <v>489.07499999999999</v>
      </c>
      <c r="Y46" s="65">
        <f>X46*365</f>
        <v>178512.375</v>
      </c>
    </row>
    <row r="47" spans="1:26" ht="15" customHeight="1" thickBot="1" x14ac:dyDescent="0.3">
      <c r="A47" s="51" t="s">
        <v>431</v>
      </c>
      <c r="B47" s="42">
        <f>326+115</f>
        <v>441</v>
      </c>
      <c r="C47" s="42">
        <f>320+110</f>
        <v>430</v>
      </c>
      <c r="D47" s="4">
        <f>270+102.5</f>
        <v>372.5</v>
      </c>
      <c r="E47" s="4">
        <f>304+85</f>
        <v>389</v>
      </c>
      <c r="F47" s="3">
        <f>305+74</f>
        <v>379</v>
      </c>
      <c r="G47" s="63">
        <f>SUM(D47:F47)/3</f>
        <v>380.16666666666669</v>
      </c>
      <c r="H47" s="108">
        <f t="shared" si="23"/>
        <v>34975.333333333336</v>
      </c>
      <c r="I47" s="3">
        <f>313+77</f>
        <v>390</v>
      </c>
      <c r="J47" s="3">
        <f>322.5+77.6</f>
        <v>400.1</v>
      </c>
      <c r="K47" s="3">
        <f>322+72.2</f>
        <v>394.2</v>
      </c>
      <c r="L47" s="63">
        <f t="shared" si="24"/>
        <v>394.76666666666665</v>
      </c>
      <c r="M47" s="108">
        <f t="shared" si="25"/>
        <v>36318.533333333333</v>
      </c>
      <c r="N47" s="3">
        <v>394</v>
      </c>
      <c r="O47" s="87">
        <f>297.4+77.5</f>
        <v>374.9</v>
      </c>
      <c r="P47" s="87">
        <f>291+77.9</f>
        <v>368.9</v>
      </c>
      <c r="Q47" s="63">
        <f t="shared" si="26"/>
        <v>379.26666666666665</v>
      </c>
      <c r="R47" s="108">
        <f t="shared" si="27"/>
        <v>34134</v>
      </c>
      <c r="S47" s="3">
        <v>376</v>
      </c>
      <c r="T47" s="87">
        <v>377.7</v>
      </c>
      <c r="U47" s="90">
        <v>410.2</v>
      </c>
      <c r="V47" s="63">
        <f t="shared" si="28"/>
        <v>387.9666666666667</v>
      </c>
      <c r="W47" s="111">
        <f t="shared" si="29"/>
        <v>35304.966666666667</v>
      </c>
      <c r="X47" s="64">
        <f>SUM(D47+E47+F47+I47+J47+K47+N47+O47+P47+S47+T47+U47)/12</f>
        <v>385.54166666666669</v>
      </c>
      <c r="Y47" s="65">
        <f>X47*365</f>
        <v>140722.70833333334</v>
      </c>
    </row>
    <row r="48" spans="1:26" ht="15" customHeight="1" thickBot="1" x14ac:dyDescent="0.3">
      <c r="A48" s="50" t="s">
        <v>130</v>
      </c>
      <c r="B48" s="42">
        <v>200</v>
      </c>
      <c r="C48" s="42">
        <v>189</v>
      </c>
      <c r="D48" s="4">
        <v>177.7</v>
      </c>
      <c r="E48" s="4">
        <v>158</v>
      </c>
      <c r="F48" s="3">
        <v>166</v>
      </c>
      <c r="G48" s="63">
        <f>SUM(D48:F48)/3</f>
        <v>167.23333333333332</v>
      </c>
      <c r="H48" s="108">
        <f t="shared" si="23"/>
        <v>15385.466666666665</v>
      </c>
      <c r="I48" s="3">
        <v>175</v>
      </c>
      <c r="J48" s="3">
        <v>181.1</v>
      </c>
      <c r="K48" s="3">
        <v>172.9</v>
      </c>
      <c r="L48" s="63">
        <f t="shared" si="24"/>
        <v>176.33333333333334</v>
      </c>
      <c r="M48" s="108">
        <f t="shared" si="25"/>
        <v>16222.666666666668</v>
      </c>
      <c r="N48" s="3">
        <v>167.4</v>
      </c>
      <c r="O48" s="87">
        <v>150</v>
      </c>
      <c r="P48" s="87">
        <v>139.5</v>
      </c>
      <c r="Q48" s="63">
        <f t="shared" si="26"/>
        <v>152.29999999999998</v>
      </c>
      <c r="R48" s="108">
        <f t="shared" si="27"/>
        <v>13706.999999999998</v>
      </c>
      <c r="S48" s="3">
        <v>149</v>
      </c>
      <c r="T48" s="87">
        <v>152.80000000000001</v>
      </c>
      <c r="U48" s="90">
        <v>159.80000000000001</v>
      </c>
      <c r="V48" s="63">
        <f t="shared" si="28"/>
        <v>153.86666666666667</v>
      </c>
      <c r="W48" s="111">
        <f t="shared" si="29"/>
        <v>14001.866666666667</v>
      </c>
      <c r="X48" s="64">
        <f>SUM(D48+E48+F48+I48+J48+K48+N48+O48+P48+S48+T48+U48)/12</f>
        <v>162.43333333333334</v>
      </c>
      <c r="Y48" s="65">
        <f>X48*365</f>
        <v>59288.166666666672</v>
      </c>
    </row>
    <row r="49" spans="1:25" ht="15" customHeight="1" thickBot="1" x14ac:dyDescent="0.3">
      <c r="A49" s="50" t="s">
        <v>131</v>
      </c>
      <c r="B49" s="34"/>
      <c r="C49" s="34"/>
      <c r="D49" s="4">
        <v>0</v>
      </c>
      <c r="E49" s="4">
        <v>0</v>
      </c>
      <c r="F49" s="4">
        <v>0</v>
      </c>
      <c r="G49" s="67">
        <f>SUM(D49:F49)/3</f>
        <v>0</v>
      </c>
      <c r="H49" s="108">
        <f t="shared" si="23"/>
        <v>0</v>
      </c>
      <c r="I49" s="4">
        <v>0</v>
      </c>
      <c r="J49" s="4">
        <v>0</v>
      </c>
      <c r="K49" s="4">
        <v>0</v>
      </c>
      <c r="L49" s="67">
        <f t="shared" si="24"/>
        <v>0</v>
      </c>
      <c r="M49" s="108">
        <f t="shared" si="25"/>
        <v>0</v>
      </c>
      <c r="N49" s="4">
        <v>0</v>
      </c>
      <c r="O49" s="4">
        <v>0</v>
      </c>
      <c r="P49" s="4">
        <v>0</v>
      </c>
      <c r="Q49" s="67">
        <f t="shared" si="26"/>
        <v>0</v>
      </c>
      <c r="R49" s="108">
        <f t="shared" si="27"/>
        <v>0</v>
      </c>
      <c r="S49" s="3" t="s">
        <v>103</v>
      </c>
      <c r="T49" s="3" t="s">
        <v>103</v>
      </c>
      <c r="U49" s="4" t="s">
        <v>103</v>
      </c>
      <c r="V49" s="67">
        <f t="shared" si="28"/>
        <v>0</v>
      </c>
      <c r="W49" s="112">
        <f t="shared" si="29"/>
        <v>0</v>
      </c>
      <c r="X49" s="64">
        <v>0</v>
      </c>
      <c r="Y49" s="65">
        <f>X49*365</f>
        <v>0</v>
      </c>
    </row>
    <row r="50" spans="1:25" ht="15" customHeight="1" thickBot="1" x14ac:dyDescent="0.3">
      <c r="A50" s="626" t="s">
        <v>139</v>
      </c>
      <c r="B50" s="627"/>
      <c r="C50" s="627"/>
      <c r="D50" s="628">
        <f>SUM(D36:D49)</f>
        <v>4684.8999999999996</v>
      </c>
      <c r="E50" s="628">
        <f>SUM(E36:E49)</f>
        <v>4636</v>
      </c>
      <c r="F50" s="628">
        <f>SUM(F36:F49)</f>
        <v>4556</v>
      </c>
      <c r="G50" s="629">
        <f>SUM(D50:F50)/3</f>
        <v>4625.6333333333332</v>
      </c>
      <c r="H50" s="630">
        <f>G50*92</f>
        <v>425558.26666666666</v>
      </c>
      <c r="I50" s="631">
        <f>SUM(I36:I49)</f>
        <v>4610</v>
      </c>
      <c r="J50" s="628">
        <f>SUM(J36:J49)</f>
        <v>4409.4000000000005</v>
      </c>
      <c r="K50" s="628">
        <f>SUM(K36:K49)</f>
        <v>4371.3999999999996</v>
      </c>
      <c r="L50" s="629">
        <f t="shared" si="24"/>
        <v>4463.6000000000004</v>
      </c>
      <c r="M50" s="632">
        <f t="shared" si="25"/>
        <v>410651.2</v>
      </c>
      <c r="N50" s="633">
        <f>SUM(N36:N49)</f>
        <v>4257</v>
      </c>
      <c r="O50" s="628">
        <f>SUM(O36:O49)</f>
        <v>4213.1000000000004</v>
      </c>
      <c r="P50" s="628">
        <f>SUM(P36:P49)</f>
        <v>4224.1000000000004</v>
      </c>
      <c r="Q50" s="629">
        <f t="shared" si="26"/>
        <v>4231.4000000000005</v>
      </c>
      <c r="R50" s="632">
        <f t="shared" si="27"/>
        <v>380826.00000000006</v>
      </c>
      <c r="S50" s="631">
        <f>SUM(S36:S49)</f>
        <v>4254</v>
      </c>
      <c r="T50" s="628">
        <f>SUM(T36:T48)</f>
        <v>4259.7000000000007</v>
      </c>
      <c r="U50" s="634">
        <f>SUM(U36:U49)</f>
        <v>4250.5</v>
      </c>
      <c r="V50" s="629">
        <f t="shared" si="28"/>
        <v>4254.7333333333336</v>
      </c>
      <c r="W50" s="635">
        <f t="shared" si="29"/>
        <v>387180.73333333334</v>
      </c>
      <c r="X50" s="636">
        <f>SUM(D50+E50+F50+I50+J50+K50+N50+O50+P50+S50+T50+U50)/12</f>
        <v>4393.8416666666672</v>
      </c>
      <c r="Y50" s="636">
        <f>SUM(Y36:Y49)</f>
        <v>1604160.1083333334</v>
      </c>
    </row>
    <row r="51" spans="1:25" ht="15" customHeight="1" thickBot="1" x14ac:dyDescent="0.3">
      <c r="A51" s="46" t="s">
        <v>140</v>
      </c>
      <c r="B51" s="35"/>
      <c r="C51" s="35"/>
      <c r="D51" s="70"/>
      <c r="E51" s="70"/>
      <c r="F51" s="71"/>
      <c r="G51" s="98"/>
      <c r="H51" s="98"/>
      <c r="I51" s="72"/>
      <c r="J51" s="70"/>
      <c r="K51" s="71"/>
      <c r="L51" s="97"/>
      <c r="M51" s="97"/>
      <c r="N51" s="72"/>
      <c r="O51" s="70"/>
      <c r="P51" s="71"/>
      <c r="Q51" s="97"/>
      <c r="R51" s="97"/>
      <c r="S51" s="72"/>
      <c r="T51" s="70"/>
      <c r="U51" s="71"/>
      <c r="V51" s="71"/>
      <c r="W51" s="70"/>
      <c r="X51" s="96"/>
      <c r="Y51" s="69" t="s">
        <v>0</v>
      </c>
    </row>
    <row r="52" spans="1:25" ht="15" customHeight="1" thickBot="1" x14ac:dyDescent="0.3">
      <c r="A52" s="819" t="s">
        <v>132</v>
      </c>
      <c r="B52" s="820" t="s">
        <v>469</v>
      </c>
      <c r="C52" s="820" t="s">
        <v>103</v>
      </c>
      <c r="D52" s="821">
        <v>495.61</v>
      </c>
      <c r="E52" s="821">
        <v>470</v>
      </c>
      <c r="F52" s="821">
        <v>476</v>
      </c>
      <c r="G52" s="822">
        <f t="shared" ref="G52:G58" si="30">SUM(D52:F52)/3</f>
        <v>480.53666666666669</v>
      </c>
      <c r="H52" s="823">
        <f t="shared" ref="H52:H58" si="31">G52*92</f>
        <v>44209.373333333337</v>
      </c>
      <c r="I52" s="821">
        <v>430</v>
      </c>
      <c r="J52" s="821">
        <v>435</v>
      </c>
      <c r="K52" s="821">
        <v>424</v>
      </c>
      <c r="L52" s="822">
        <f t="shared" ref="L52:L59" si="32">SUM(I52:K52)/3</f>
        <v>429.66666666666669</v>
      </c>
      <c r="M52" s="823">
        <f t="shared" ref="M52:M58" si="33">L52*92</f>
        <v>39529.333333333336</v>
      </c>
      <c r="N52" s="821">
        <v>412</v>
      </c>
      <c r="O52" s="824">
        <v>432</v>
      </c>
      <c r="P52" s="824">
        <v>398</v>
      </c>
      <c r="Q52" s="822">
        <f t="shared" ref="Q52:Q59" si="34">SUM(N52:P52)/3</f>
        <v>414</v>
      </c>
      <c r="R52" s="823">
        <f t="shared" ref="R52:R58" si="35">Q52*90</f>
        <v>37260</v>
      </c>
      <c r="S52" s="821">
        <v>408</v>
      </c>
      <c r="T52" s="824">
        <v>396.97</v>
      </c>
      <c r="U52" s="825">
        <v>386</v>
      </c>
      <c r="V52" s="822">
        <f t="shared" ref="V52:V59" si="36">SUM(S52:U52)/3</f>
        <v>396.99</v>
      </c>
      <c r="W52" s="826">
        <f t="shared" ref="W52:W58" si="37">V52*91</f>
        <v>36126.090000000004</v>
      </c>
      <c r="X52" s="827">
        <f>SUM(D52+E52+F52+I52+J52+K52+N52+O52+P52+S52+T52+U52)/12</f>
        <v>430.2983333333334</v>
      </c>
      <c r="Y52" s="828">
        <f t="shared" ref="Y52:Y57" si="38">X52*365</f>
        <v>157058.89166666669</v>
      </c>
    </row>
    <row r="53" spans="1:25" ht="15" customHeight="1" thickBot="1" x14ac:dyDescent="0.3">
      <c r="A53" s="50" t="s">
        <v>133</v>
      </c>
      <c r="B53" s="496">
        <v>35</v>
      </c>
      <c r="C53" s="496" t="s">
        <v>103</v>
      </c>
      <c r="D53" s="5">
        <f>9.81+5.68</f>
        <v>15.49</v>
      </c>
      <c r="E53" s="5">
        <v>9</v>
      </c>
      <c r="F53" s="5">
        <v>10</v>
      </c>
      <c r="G53" s="63">
        <f t="shared" si="30"/>
        <v>11.496666666666668</v>
      </c>
      <c r="H53" s="108">
        <f t="shared" si="31"/>
        <v>1057.6933333333334</v>
      </c>
      <c r="I53" s="5">
        <v>12</v>
      </c>
      <c r="J53" s="5">
        <v>16</v>
      </c>
      <c r="K53" s="5">
        <v>14</v>
      </c>
      <c r="L53" s="63">
        <f t="shared" si="32"/>
        <v>14</v>
      </c>
      <c r="M53" s="108">
        <f t="shared" si="33"/>
        <v>1288</v>
      </c>
      <c r="N53" s="5">
        <f>11+4</f>
        <v>15</v>
      </c>
      <c r="O53" s="75">
        <f>11+4</f>
        <v>15</v>
      </c>
      <c r="P53" s="75">
        <f>11+4</f>
        <v>15</v>
      </c>
      <c r="Q53" s="63">
        <f t="shared" si="34"/>
        <v>15</v>
      </c>
      <c r="R53" s="108">
        <f t="shared" si="35"/>
        <v>1350</v>
      </c>
      <c r="S53" s="5">
        <v>15</v>
      </c>
      <c r="T53" s="75">
        <f>9.55+4</f>
        <v>13.55</v>
      </c>
      <c r="U53" s="76">
        <v>12</v>
      </c>
      <c r="V53" s="63">
        <f t="shared" si="36"/>
        <v>13.516666666666666</v>
      </c>
      <c r="W53" s="111">
        <f t="shared" si="37"/>
        <v>1230.0166666666667</v>
      </c>
      <c r="X53" s="64">
        <f>SUM(D53+E53+F53+I53+J53+K53+N53+O53+P53+S53+T53+U53)/12</f>
        <v>13.503333333333336</v>
      </c>
      <c r="Y53" s="65">
        <f t="shared" si="38"/>
        <v>4928.7166666666672</v>
      </c>
    </row>
    <row r="54" spans="1:25" ht="15" customHeight="1" thickBot="1" x14ac:dyDescent="0.3">
      <c r="A54" s="50" t="s">
        <v>135</v>
      </c>
      <c r="B54" s="496">
        <v>26</v>
      </c>
      <c r="C54" s="496" t="s">
        <v>103</v>
      </c>
      <c r="D54" s="5">
        <v>14</v>
      </c>
      <c r="E54" s="5">
        <v>15</v>
      </c>
      <c r="F54" s="5">
        <v>15</v>
      </c>
      <c r="G54" s="63">
        <f t="shared" si="30"/>
        <v>14.666666666666666</v>
      </c>
      <c r="H54" s="108">
        <f t="shared" si="31"/>
        <v>1349.3333333333333</v>
      </c>
      <c r="I54" s="5">
        <v>15</v>
      </c>
      <c r="J54" s="5">
        <v>15</v>
      </c>
      <c r="K54" s="5">
        <v>16</v>
      </c>
      <c r="L54" s="63">
        <f t="shared" si="32"/>
        <v>15.333333333333334</v>
      </c>
      <c r="M54" s="108">
        <f t="shared" si="33"/>
        <v>1410.6666666666667</v>
      </c>
      <c r="N54" s="5">
        <v>14</v>
      </c>
      <c r="O54" s="75">
        <v>14</v>
      </c>
      <c r="P54" s="75">
        <v>17</v>
      </c>
      <c r="Q54" s="63">
        <f t="shared" si="34"/>
        <v>15</v>
      </c>
      <c r="R54" s="108">
        <f t="shared" si="35"/>
        <v>1350</v>
      </c>
      <c r="S54" s="5">
        <v>21</v>
      </c>
      <c r="T54" s="75">
        <v>23.13</v>
      </c>
      <c r="U54" s="76">
        <v>21</v>
      </c>
      <c r="V54" s="63">
        <f t="shared" si="36"/>
        <v>21.709999999999997</v>
      </c>
      <c r="W54" s="111">
        <f t="shared" si="37"/>
        <v>1975.6099999999997</v>
      </c>
      <c r="X54" s="64">
        <f>SUM(D54+E54+F54+I54+J54+K54+N54+O54+P54+S54+T54+U54)/12</f>
        <v>16.677499999999998</v>
      </c>
      <c r="Y54" s="65">
        <f t="shared" si="38"/>
        <v>6087.2874999999995</v>
      </c>
    </row>
    <row r="55" spans="1:25" ht="15" customHeight="1" thickBot="1" x14ac:dyDescent="0.3">
      <c r="A55" s="50" t="s">
        <v>134</v>
      </c>
      <c r="B55" s="496" t="s">
        <v>434</v>
      </c>
      <c r="C55" s="496" t="s">
        <v>103</v>
      </c>
      <c r="D55" s="5">
        <v>335</v>
      </c>
      <c r="E55" s="5">
        <v>303</v>
      </c>
      <c r="F55" s="5">
        <v>291</v>
      </c>
      <c r="G55" s="63">
        <f t="shared" si="30"/>
        <v>309.66666666666669</v>
      </c>
      <c r="H55" s="108">
        <f t="shared" si="31"/>
        <v>28489.333333333336</v>
      </c>
      <c r="I55" s="5">
        <v>282</v>
      </c>
      <c r="J55" s="5">
        <v>279</v>
      </c>
      <c r="K55" s="5">
        <v>286</v>
      </c>
      <c r="L55" s="63">
        <f t="shared" si="32"/>
        <v>282.33333333333331</v>
      </c>
      <c r="M55" s="108">
        <f t="shared" si="33"/>
        <v>25974.666666666664</v>
      </c>
      <c r="N55" s="5">
        <v>275</v>
      </c>
      <c r="O55" s="75">
        <v>263</v>
      </c>
      <c r="P55" s="75">
        <v>253</v>
      </c>
      <c r="Q55" s="63">
        <f t="shared" si="34"/>
        <v>263.66666666666669</v>
      </c>
      <c r="R55" s="108">
        <f t="shared" si="35"/>
        <v>23730</v>
      </c>
      <c r="S55" s="5">
        <v>290</v>
      </c>
      <c r="T55" s="75">
        <v>299</v>
      </c>
      <c r="U55" s="76">
        <v>286</v>
      </c>
      <c r="V55" s="63">
        <f t="shared" si="36"/>
        <v>291.66666666666669</v>
      </c>
      <c r="W55" s="111">
        <f t="shared" si="37"/>
        <v>26541.666666666668</v>
      </c>
      <c r="X55" s="64">
        <f>SUM(D55+E55+F55+I55+J55+K55+N55+O55+P55+S55+T55+U55)/12</f>
        <v>286.83333333333331</v>
      </c>
      <c r="Y55" s="65">
        <f t="shared" si="38"/>
        <v>104694.16666666666</v>
      </c>
    </row>
    <row r="56" spans="1:25" ht="15" customHeight="1" thickBot="1" x14ac:dyDescent="0.3">
      <c r="A56" s="50" t="s">
        <v>339</v>
      </c>
      <c r="B56" s="496">
        <v>1050</v>
      </c>
      <c r="C56" s="496" t="s">
        <v>103</v>
      </c>
      <c r="D56" s="5" t="s">
        <v>534</v>
      </c>
      <c r="E56" s="5" t="s">
        <v>534</v>
      </c>
      <c r="F56" s="5" t="s">
        <v>534</v>
      </c>
      <c r="G56" s="63">
        <f t="shared" si="30"/>
        <v>0</v>
      </c>
      <c r="H56" s="108">
        <f t="shared" si="31"/>
        <v>0</v>
      </c>
      <c r="I56" s="5" t="s">
        <v>534</v>
      </c>
      <c r="J56" s="5" t="s">
        <v>534</v>
      </c>
      <c r="K56" s="5" t="s">
        <v>534</v>
      </c>
      <c r="L56" s="63">
        <f t="shared" si="32"/>
        <v>0</v>
      </c>
      <c r="M56" s="108">
        <f t="shared" si="33"/>
        <v>0</v>
      </c>
      <c r="N56" s="5" t="s">
        <v>534</v>
      </c>
      <c r="O56" s="75" t="s">
        <v>534</v>
      </c>
      <c r="P56" s="75" t="s">
        <v>534</v>
      </c>
      <c r="Q56" s="63">
        <f t="shared" si="34"/>
        <v>0</v>
      </c>
      <c r="R56" s="108">
        <f t="shared" si="35"/>
        <v>0</v>
      </c>
      <c r="S56" s="5" t="s">
        <v>534</v>
      </c>
      <c r="T56" s="75" t="s">
        <v>534</v>
      </c>
      <c r="U56" s="76" t="s">
        <v>534</v>
      </c>
      <c r="V56" s="63">
        <f t="shared" si="36"/>
        <v>0</v>
      </c>
      <c r="W56" s="111">
        <f t="shared" si="37"/>
        <v>0</v>
      </c>
      <c r="X56" s="64">
        <v>0</v>
      </c>
      <c r="Y56" s="65">
        <f t="shared" si="38"/>
        <v>0</v>
      </c>
    </row>
    <row r="57" spans="1:25" ht="15" customHeight="1" thickBot="1" x14ac:dyDescent="0.3">
      <c r="A57" s="50" t="s">
        <v>137</v>
      </c>
      <c r="B57" s="496" t="s">
        <v>434</v>
      </c>
      <c r="C57" s="496" t="s">
        <v>103</v>
      </c>
      <c r="D57" s="5">
        <v>9</v>
      </c>
      <c r="E57" s="5">
        <v>9</v>
      </c>
      <c r="F57" s="5">
        <v>9</v>
      </c>
      <c r="G57" s="63">
        <f t="shared" si="30"/>
        <v>9</v>
      </c>
      <c r="H57" s="108">
        <f t="shared" si="31"/>
        <v>828</v>
      </c>
      <c r="I57" s="5">
        <v>9</v>
      </c>
      <c r="J57" s="5">
        <v>9</v>
      </c>
      <c r="K57" s="5">
        <v>9</v>
      </c>
      <c r="L57" s="63">
        <f t="shared" si="32"/>
        <v>9</v>
      </c>
      <c r="M57" s="108">
        <f t="shared" si="33"/>
        <v>828</v>
      </c>
      <c r="N57" s="5">
        <v>9</v>
      </c>
      <c r="O57" s="75">
        <v>9</v>
      </c>
      <c r="P57" s="75">
        <v>9</v>
      </c>
      <c r="Q57" s="63">
        <f t="shared" si="34"/>
        <v>9</v>
      </c>
      <c r="R57" s="108">
        <f t="shared" si="35"/>
        <v>810</v>
      </c>
      <c r="S57" s="5">
        <v>9</v>
      </c>
      <c r="T57" s="75">
        <v>9</v>
      </c>
      <c r="U57" s="76">
        <v>9</v>
      </c>
      <c r="V57" s="63">
        <f t="shared" si="36"/>
        <v>9</v>
      </c>
      <c r="W57" s="112">
        <f t="shared" si="37"/>
        <v>819</v>
      </c>
      <c r="X57" s="64">
        <f>SUM(D57+E57+F57+I57+J57+K57+N57+O57+P57+S57+T57+U57)/12</f>
        <v>9</v>
      </c>
      <c r="Y57" s="65">
        <f t="shared" si="38"/>
        <v>3285</v>
      </c>
    </row>
    <row r="58" spans="1:25" ht="15" customHeight="1" thickBot="1" x14ac:dyDescent="0.3">
      <c r="A58" s="53" t="s">
        <v>141</v>
      </c>
      <c r="B58" s="37"/>
      <c r="C58" s="37"/>
      <c r="D58" s="80">
        <f>SUM(D52:D57)</f>
        <v>869.1</v>
      </c>
      <c r="E58" s="80">
        <f>SUM(E52:E57)</f>
        <v>806</v>
      </c>
      <c r="F58" s="80">
        <f>SUM(F52:F57)</f>
        <v>801</v>
      </c>
      <c r="G58" s="68">
        <f t="shared" si="30"/>
        <v>825.36666666666667</v>
      </c>
      <c r="H58" s="108">
        <f t="shared" si="31"/>
        <v>75933.733333333337</v>
      </c>
      <c r="I58" s="94">
        <f>SUM(I52:I57)</f>
        <v>748</v>
      </c>
      <c r="J58" s="80">
        <f>SUM(J52:J57)</f>
        <v>754</v>
      </c>
      <c r="K58" s="80">
        <f>SUM(K52:K57)</f>
        <v>749</v>
      </c>
      <c r="L58" s="68">
        <f t="shared" si="32"/>
        <v>750.33333333333337</v>
      </c>
      <c r="M58" s="119">
        <f t="shared" si="33"/>
        <v>69030.666666666672</v>
      </c>
      <c r="N58" s="94">
        <f>SUM(N52:N57)</f>
        <v>725</v>
      </c>
      <c r="O58" s="80">
        <f>SUM(O52:O57)</f>
        <v>733</v>
      </c>
      <c r="P58" s="80">
        <f>SUM(P52:P57)</f>
        <v>692</v>
      </c>
      <c r="Q58" s="68">
        <f t="shared" si="34"/>
        <v>716.66666666666663</v>
      </c>
      <c r="R58" s="108">
        <f t="shared" si="35"/>
        <v>64500</v>
      </c>
      <c r="S58" s="94">
        <f>SUM(S52:S57)</f>
        <v>743</v>
      </c>
      <c r="T58" s="80">
        <f>SUM(T52:T57)</f>
        <v>741.65000000000009</v>
      </c>
      <c r="U58" s="81">
        <f>SUM(U52:U57)</f>
        <v>714</v>
      </c>
      <c r="V58" s="68">
        <f t="shared" si="36"/>
        <v>732.88333333333333</v>
      </c>
      <c r="W58" s="120">
        <f t="shared" si="37"/>
        <v>66692.383333333331</v>
      </c>
      <c r="X58" s="69">
        <f>SUM(X52:X57)</f>
        <v>756.3125</v>
      </c>
      <c r="Y58" s="69">
        <f>SUM(Y52:Y57)</f>
        <v>276054.0625</v>
      </c>
    </row>
    <row r="59" spans="1:25" ht="15" customHeight="1" thickBot="1" x14ac:dyDescent="0.3">
      <c r="A59" s="54" t="s">
        <v>145</v>
      </c>
      <c r="B59" s="38"/>
      <c r="C59" s="38"/>
      <c r="D59" s="80">
        <f>D50+D58</f>
        <v>5554</v>
      </c>
      <c r="E59" s="80">
        <f>E50+E58</f>
        <v>5442</v>
      </c>
      <c r="F59" s="80">
        <f>F50+F58</f>
        <v>5357</v>
      </c>
      <c r="G59" s="80">
        <f>G50+G58</f>
        <v>5451</v>
      </c>
      <c r="H59" s="68">
        <f>SUM(H50+H58)</f>
        <v>501492</v>
      </c>
      <c r="I59" s="80">
        <f>I50+I58</f>
        <v>5358</v>
      </c>
      <c r="J59" s="80">
        <f>J50+J58</f>
        <v>5163.4000000000005</v>
      </c>
      <c r="K59" s="80">
        <f>K50+K58</f>
        <v>5120.3999999999996</v>
      </c>
      <c r="L59" s="120">
        <f t="shared" si="32"/>
        <v>5213.9333333333334</v>
      </c>
      <c r="M59" s="68">
        <f>SUM(M50+M58)</f>
        <v>479681.8666666667</v>
      </c>
      <c r="N59" s="94">
        <f>N50+N58</f>
        <v>4982</v>
      </c>
      <c r="O59" s="80">
        <f>O50+O58</f>
        <v>4946.1000000000004</v>
      </c>
      <c r="P59" s="80">
        <f>P50+P58</f>
        <v>4916.1000000000004</v>
      </c>
      <c r="Q59" s="99">
        <f t="shared" si="34"/>
        <v>4948.0666666666666</v>
      </c>
      <c r="R59" s="68">
        <f>SUM(R50+R58)</f>
        <v>445326.00000000006</v>
      </c>
      <c r="S59" s="94">
        <f>S50+S58</f>
        <v>4997</v>
      </c>
      <c r="T59" s="80">
        <f>T50+T58</f>
        <v>5001.3500000000004</v>
      </c>
      <c r="U59" s="81">
        <f>U50+U58</f>
        <v>4964.5</v>
      </c>
      <c r="V59" s="99">
        <f t="shared" si="36"/>
        <v>4987.6166666666668</v>
      </c>
      <c r="W59" s="68">
        <f>SUM(W50+W58)</f>
        <v>453873.1166666667</v>
      </c>
      <c r="X59" s="80">
        <f>X50+X58</f>
        <v>5150.1541666666672</v>
      </c>
      <c r="Y59" s="82">
        <f>Y50+Y58</f>
        <v>1880214.1708333334</v>
      </c>
    </row>
    <row r="60" spans="1:25" ht="15" customHeight="1" x14ac:dyDescent="0.25">
      <c r="A60" s="114" t="s">
        <v>785</v>
      </c>
      <c r="B60" s="19"/>
      <c r="C60" s="19"/>
      <c r="D60" s="115"/>
      <c r="E60" s="115"/>
      <c r="F60" s="115"/>
      <c r="G60" s="115"/>
      <c r="H60" s="113"/>
      <c r="I60" s="115"/>
      <c r="J60" s="115"/>
      <c r="K60" s="115"/>
      <c r="L60" s="139"/>
      <c r="M60" s="113"/>
      <c r="N60" s="115"/>
      <c r="O60" s="115"/>
      <c r="P60" s="115"/>
      <c r="Q60" s="93"/>
      <c r="R60" s="113"/>
      <c r="S60" s="115"/>
      <c r="T60" s="115"/>
      <c r="U60" s="115"/>
      <c r="V60" s="93"/>
      <c r="W60" s="113"/>
      <c r="X60" s="115"/>
      <c r="Y60" s="115"/>
    </row>
    <row r="61" spans="1:25" ht="15" customHeight="1" x14ac:dyDescent="0.25">
      <c r="A61" s="114" t="s">
        <v>782</v>
      </c>
      <c r="B61" s="19"/>
      <c r="C61" s="19"/>
      <c r="D61" s="115"/>
      <c r="E61" s="115"/>
      <c r="F61" s="115"/>
      <c r="G61" s="115"/>
      <c r="H61" s="113"/>
      <c r="I61" s="115"/>
      <c r="J61" s="115"/>
      <c r="K61" s="115"/>
      <c r="L61" s="139"/>
      <c r="M61" s="113"/>
      <c r="N61" s="115"/>
      <c r="O61" s="115"/>
      <c r="P61" s="115"/>
      <c r="Q61" s="93"/>
      <c r="R61" s="113"/>
      <c r="S61" s="115"/>
      <c r="T61" s="115"/>
      <c r="U61" s="115"/>
      <c r="V61" s="93"/>
      <c r="W61" s="113"/>
      <c r="X61" s="115"/>
      <c r="Y61" s="115"/>
    </row>
    <row r="62" spans="1:25" ht="15" customHeight="1" x14ac:dyDescent="0.2">
      <c r="A62" s="45"/>
      <c r="B62" s="10"/>
      <c r="C62" s="10"/>
      <c r="D62" s="13"/>
      <c r="E62" s="13"/>
      <c r="F62" s="13"/>
      <c r="G62" s="13"/>
      <c r="H62" s="13"/>
      <c r="I62" s="13"/>
      <c r="J62" s="13"/>
      <c r="K62" s="13"/>
      <c r="L62" s="13"/>
      <c r="M62" s="13"/>
      <c r="N62" s="13"/>
      <c r="O62" s="13"/>
      <c r="P62" s="13"/>
      <c r="Q62" s="13"/>
      <c r="R62" s="13"/>
      <c r="S62" s="13"/>
      <c r="T62" s="13"/>
      <c r="U62" s="13"/>
      <c r="V62" s="13"/>
      <c r="W62" s="13"/>
      <c r="X62" s="13"/>
      <c r="Y62" s="13"/>
    </row>
    <row r="63" spans="1:25" ht="13.5" thickBot="1" x14ac:dyDescent="0.25"/>
    <row r="64" spans="1:25" ht="15" customHeight="1" thickBot="1" x14ac:dyDescent="0.3">
      <c r="A64" s="648" t="s">
        <v>569</v>
      </c>
      <c r="B64" s="1055" t="s">
        <v>142</v>
      </c>
      <c r="C64" s="1056"/>
      <c r="D64" s="1056"/>
      <c r="E64" s="1056"/>
      <c r="F64" s="1056"/>
      <c r="G64" s="1056"/>
      <c r="H64" s="1056"/>
      <c r="I64" s="1056"/>
      <c r="J64" s="1056"/>
      <c r="K64" s="1056"/>
      <c r="L64" s="1056"/>
      <c r="M64" s="1056"/>
      <c r="N64" s="1056"/>
      <c r="O64" s="1056"/>
      <c r="P64" s="1056"/>
      <c r="Q64" s="1056"/>
      <c r="R64" s="1056"/>
      <c r="S64" s="1056"/>
      <c r="T64" s="1056"/>
      <c r="U64" s="1056"/>
      <c r="V64" s="39"/>
      <c r="W64" s="39"/>
      <c r="X64" s="92"/>
      <c r="Y64" s="13"/>
    </row>
    <row r="65" spans="1:25" ht="15" customHeight="1" x14ac:dyDescent="0.25">
      <c r="A65" s="56"/>
      <c r="B65" s="40" t="s">
        <v>566</v>
      </c>
      <c r="C65" s="1043" t="s">
        <v>567</v>
      </c>
      <c r="D65" s="57"/>
      <c r="E65" s="58"/>
      <c r="F65" s="58"/>
      <c r="G65" s="1047" t="s">
        <v>242</v>
      </c>
      <c r="H65" s="1049" t="s">
        <v>262</v>
      </c>
      <c r="I65" s="58"/>
      <c r="J65" s="58"/>
      <c r="K65" s="58"/>
      <c r="L65" s="1047" t="s">
        <v>242</v>
      </c>
      <c r="M65" s="1049" t="s">
        <v>262</v>
      </c>
      <c r="N65" s="58"/>
      <c r="O65" s="58"/>
      <c r="P65" s="58"/>
      <c r="Q65" s="1047" t="s">
        <v>242</v>
      </c>
      <c r="R65" s="1039" t="s">
        <v>262</v>
      </c>
      <c r="S65" s="58"/>
      <c r="T65" s="58"/>
      <c r="U65" s="59"/>
      <c r="V65" s="1047" t="s">
        <v>242</v>
      </c>
      <c r="W65" s="1039" t="s">
        <v>262</v>
      </c>
      <c r="X65" s="1051" t="s">
        <v>143</v>
      </c>
      <c r="Y65" s="1053" t="s">
        <v>144</v>
      </c>
    </row>
    <row r="66" spans="1:25" ht="15" customHeight="1" thickBot="1" x14ac:dyDescent="0.3">
      <c r="A66" s="47" t="s">
        <v>55</v>
      </c>
      <c r="B66" s="41" t="s">
        <v>568</v>
      </c>
      <c r="C66" s="1057"/>
      <c r="D66" s="60">
        <v>42186</v>
      </c>
      <c r="E66" s="61">
        <v>42217</v>
      </c>
      <c r="F66" s="61">
        <v>42248</v>
      </c>
      <c r="G66" s="1048"/>
      <c r="H66" s="1050"/>
      <c r="I66" s="61">
        <v>42278</v>
      </c>
      <c r="J66" s="61">
        <v>42309</v>
      </c>
      <c r="K66" s="61">
        <v>42339</v>
      </c>
      <c r="L66" s="1048"/>
      <c r="M66" s="1050"/>
      <c r="N66" s="61">
        <v>42370</v>
      </c>
      <c r="O66" s="61">
        <v>42401</v>
      </c>
      <c r="P66" s="61">
        <v>42430</v>
      </c>
      <c r="Q66" s="1048"/>
      <c r="R66" s="1040"/>
      <c r="S66" s="61">
        <v>42461</v>
      </c>
      <c r="T66" s="61">
        <v>42491</v>
      </c>
      <c r="U66" s="62">
        <v>42522</v>
      </c>
      <c r="V66" s="1048"/>
      <c r="W66" s="1040"/>
      <c r="X66" s="1052"/>
      <c r="Y66" s="1054"/>
    </row>
    <row r="67" spans="1:25" ht="15" customHeight="1" thickBot="1" x14ac:dyDescent="0.3">
      <c r="A67" s="48" t="s">
        <v>294</v>
      </c>
      <c r="B67" s="42">
        <v>863</v>
      </c>
      <c r="C67" s="42">
        <v>829</v>
      </c>
      <c r="D67" s="125">
        <v>844.8</v>
      </c>
      <c r="E67" s="125">
        <v>857.9</v>
      </c>
      <c r="F67" s="117">
        <v>798.3</v>
      </c>
      <c r="G67" s="63">
        <f t="shared" ref="G67:G76" si="39">SUM(D67:F67)/3</f>
        <v>833.66666666666663</v>
      </c>
      <c r="H67" s="108">
        <f>G67*92</f>
        <v>76697.333333333328</v>
      </c>
      <c r="I67" s="117">
        <v>832.8</v>
      </c>
      <c r="J67" s="117">
        <v>871</v>
      </c>
      <c r="K67" s="117">
        <v>857.8</v>
      </c>
      <c r="L67" s="63">
        <f>SUM(I67:K67)/3</f>
        <v>853.86666666666667</v>
      </c>
      <c r="M67" s="108">
        <f>L67*92</f>
        <v>78555.733333333337</v>
      </c>
      <c r="N67" s="117">
        <v>842</v>
      </c>
      <c r="O67" s="85">
        <v>819.6</v>
      </c>
      <c r="P67" s="85">
        <v>797.3</v>
      </c>
      <c r="Q67" s="63">
        <f>SUM(N67:P67)/3</f>
        <v>819.63333333333321</v>
      </c>
      <c r="R67" s="108">
        <f>Q67*90</f>
        <v>73766.999999999985</v>
      </c>
      <c r="S67" s="117">
        <v>806.6</v>
      </c>
      <c r="T67" s="85">
        <v>770.6</v>
      </c>
      <c r="U67" s="135">
        <v>811</v>
      </c>
      <c r="V67" s="63">
        <f>SUM(S67:U67)/3</f>
        <v>796.06666666666661</v>
      </c>
      <c r="W67" s="111">
        <f>V67*91</f>
        <v>72442.066666666666</v>
      </c>
      <c r="X67" s="64">
        <f>SUM(D67+E67+F67+I67+J67+K67+N67+O67+P67+S67+T67+U67)/12</f>
        <v>825.80833333333339</v>
      </c>
      <c r="Y67" s="65">
        <f>X67*365</f>
        <v>301420.04166666669</v>
      </c>
    </row>
    <row r="68" spans="1:25" ht="15" customHeight="1" thickBot="1" x14ac:dyDescent="0.3">
      <c r="A68" s="49" t="s">
        <v>127</v>
      </c>
      <c r="B68" s="42">
        <v>128</v>
      </c>
      <c r="C68" s="42">
        <v>126</v>
      </c>
      <c r="D68" s="126">
        <v>103.5</v>
      </c>
      <c r="E68" s="126">
        <v>107.7</v>
      </c>
      <c r="F68" s="118">
        <v>116.4</v>
      </c>
      <c r="G68" s="63">
        <f t="shared" si="39"/>
        <v>109.2</v>
      </c>
      <c r="H68" s="108">
        <f>G68*92</f>
        <v>10046.4</v>
      </c>
      <c r="I68" s="118">
        <v>120.5</v>
      </c>
      <c r="J68" s="118">
        <v>118.1</v>
      </c>
      <c r="K68" s="118">
        <v>92.5</v>
      </c>
      <c r="L68" s="63">
        <f>SUM(I68:K68)/3</f>
        <v>110.36666666666667</v>
      </c>
      <c r="M68" s="108">
        <f>L68*92</f>
        <v>10153.733333333334</v>
      </c>
      <c r="N68" s="118">
        <v>98.8</v>
      </c>
      <c r="O68" s="86">
        <v>110.4</v>
      </c>
      <c r="P68" s="86">
        <v>123</v>
      </c>
      <c r="Q68" s="63">
        <f>SUM(N68:P68)/3</f>
        <v>110.73333333333333</v>
      </c>
      <c r="R68" s="108">
        <f>Q68*90</f>
        <v>9966</v>
      </c>
      <c r="S68" s="118">
        <v>119.4</v>
      </c>
      <c r="T68" s="86">
        <v>116.4</v>
      </c>
      <c r="U68" s="89">
        <v>108.6</v>
      </c>
      <c r="V68" s="63">
        <f>SUM(S68:U68)/3</f>
        <v>114.8</v>
      </c>
      <c r="W68" s="111">
        <f>V68*91</f>
        <v>10446.799999999999</v>
      </c>
      <c r="X68" s="64">
        <f t="shared" ref="X68:X79" si="40">SUM(D68+E68+F68+I68+J68+K68+N68+O68+P68+S68+T68+U68)/12</f>
        <v>111.27499999999999</v>
      </c>
      <c r="Y68" s="65">
        <f t="shared" ref="Y68:Y80" si="41">X68*365</f>
        <v>40615.375</v>
      </c>
    </row>
    <row r="69" spans="1:25" ht="15" customHeight="1" thickBot="1" x14ac:dyDescent="0.3">
      <c r="A69" s="50" t="s">
        <v>319</v>
      </c>
      <c r="B69" s="42">
        <v>259</v>
      </c>
      <c r="C69" s="42">
        <v>248</v>
      </c>
      <c r="D69" s="4">
        <v>265.7</v>
      </c>
      <c r="E69" s="4">
        <v>269.7</v>
      </c>
      <c r="F69" s="3">
        <v>255.4</v>
      </c>
      <c r="G69" s="63">
        <f t="shared" si="39"/>
        <v>263.59999999999997</v>
      </c>
      <c r="H69" s="108">
        <f>G69*92</f>
        <v>24251.199999999997</v>
      </c>
      <c r="I69" s="3">
        <v>265.7</v>
      </c>
      <c r="J69" s="3">
        <v>266.7</v>
      </c>
      <c r="K69" s="3">
        <v>262.3</v>
      </c>
      <c r="L69" s="63">
        <f>SUM(I69:K69)/3</f>
        <v>264.90000000000003</v>
      </c>
      <c r="M69" s="108">
        <f>L69*92</f>
        <v>24370.800000000003</v>
      </c>
      <c r="N69" s="3">
        <v>268.89999999999998</v>
      </c>
      <c r="O69" s="87">
        <v>274.10000000000002</v>
      </c>
      <c r="P69" s="87">
        <v>265.8</v>
      </c>
      <c r="Q69" s="63">
        <f>SUM(N69:P69)/3</f>
        <v>269.59999999999997</v>
      </c>
      <c r="R69" s="108">
        <f>Q69*90</f>
        <v>24263.999999999996</v>
      </c>
      <c r="S69" s="3">
        <v>283.39999999999998</v>
      </c>
      <c r="T69" s="87">
        <v>293.3</v>
      </c>
      <c r="U69" s="90">
        <v>281.10000000000002</v>
      </c>
      <c r="V69" s="63">
        <f>SUM(S69:U69)/3</f>
        <v>285.93333333333334</v>
      </c>
      <c r="W69" s="111">
        <f>V69*91</f>
        <v>26019.933333333334</v>
      </c>
      <c r="X69" s="64">
        <f t="shared" si="40"/>
        <v>271.00833333333338</v>
      </c>
      <c r="Y69" s="65">
        <f t="shared" si="41"/>
        <v>98918.041666666686</v>
      </c>
    </row>
    <row r="70" spans="1:25" ht="15" customHeight="1" thickBot="1" x14ac:dyDescent="0.3">
      <c r="A70" s="50" t="s">
        <v>436</v>
      </c>
      <c r="B70" s="42">
        <v>1472</v>
      </c>
      <c r="C70" s="42">
        <v>1408</v>
      </c>
      <c r="D70" s="4">
        <v>1322.1</v>
      </c>
      <c r="E70" s="4">
        <v>1316.7</v>
      </c>
      <c r="F70" s="3">
        <v>1359.4</v>
      </c>
      <c r="G70" s="63">
        <f t="shared" si="39"/>
        <v>1332.7333333333333</v>
      </c>
      <c r="H70" s="108">
        <f>G70*92</f>
        <v>122611.46666666667</v>
      </c>
      <c r="I70" s="3">
        <v>1285</v>
      </c>
      <c r="J70" s="3">
        <v>1290.5999999999999</v>
      </c>
      <c r="K70" s="3">
        <v>1258.9000000000001</v>
      </c>
      <c r="L70" s="63">
        <f>SUM(I70:K70)/3</f>
        <v>1278.1666666666667</v>
      </c>
      <c r="M70" s="108">
        <f>L70*92</f>
        <v>117591.33333333334</v>
      </c>
      <c r="N70" s="3">
        <v>1219.4000000000001</v>
      </c>
      <c r="O70" s="87">
        <v>1263.4000000000001</v>
      </c>
      <c r="P70" s="87">
        <v>1224</v>
      </c>
      <c r="Q70" s="63">
        <f>SUM(N70:P70)/3</f>
        <v>1235.6000000000001</v>
      </c>
      <c r="R70" s="108">
        <f>Q70*90</f>
        <v>111204.00000000001</v>
      </c>
      <c r="S70" s="3">
        <v>1220.8</v>
      </c>
      <c r="T70" s="87">
        <v>1210</v>
      </c>
      <c r="U70" s="90">
        <v>1127.5</v>
      </c>
      <c r="V70" s="63">
        <f>SUM(S70:U70)/3</f>
        <v>1186.1000000000001</v>
      </c>
      <c r="W70" s="111">
        <f>V70*91</f>
        <v>107935.1</v>
      </c>
      <c r="X70" s="64">
        <f t="shared" si="40"/>
        <v>1258.1499999999999</v>
      </c>
      <c r="Y70" s="65">
        <f t="shared" si="41"/>
        <v>459224.74999999994</v>
      </c>
    </row>
    <row r="71" spans="1:25" ht="15" customHeight="1" thickBot="1" x14ac:dyDescent="0.3">
      <c r="A71" s="51" t="s">
        <v>259</v>
      </c>
      <c r="B71" s="42">
        <v>404</v>
      </c>
      <c r="C71" s="42">
        <v>395</v>
      </c>
      <c r="D71" s="4">
        <v>407.6</v>
      </c>
      <c r="E71" s="4">
        <v>397.9</v>
      </c>
      <c r="F71" s="3">
        <v>408.3</v>
      </c>
      <c r="G71" s="63">
        <f t="shared" si="39"/>
        <v>404.59999999999997</v>
      </c>
      <c r="H71" s="108">
        <f t="shared" ref="H71:H80" si="42">G71*92</f>
        <v>37223.199999999997</v>
      </c>
      <c r="I71" s="3">
        <v>384</v>
      </c>
      <c r="J71" s="3">
        <v>363.6</v>
      </c>
      <c r="K71" s="3">
        <v>346</v>
      </c>
      <c r="L71" s="63">
        <f t="shared" ref="L71:L81" si="43">SUM(I71:K71)/3</f>
        <v>364.5333333333333</v>
      </c>
      <c r="M71" s="108">
        <f t="shared" ref="M71:M81" si="44">L71*92</f>
        <v>33537.066666666666</v>
      </c>
      <c r="N71" s="3">
        <v>349.5</v>
      </c>
      <c r="O71" s="87">
        <v>365.4</v>
      </c>
      <c r="P71" s="87">
        <v>365.5</v>
      </c>
      <c r="Q71" s="63">
        <f t="shared" ref="Q71:Q81" si="45">SUM(N71:P71)/3</f>
        <v>360.13333333333338</v>
      </c>
      <c r="R71" s="108">
        <f t="shared" ref="R71:R81" si="46">Q71*90</f>
        <v>32412.000000000004</v>
      </c>
      <c r="S71" s="3">
        <v>360.5</v>
      </c>
      <c r="T71" s="87">
        <v>359.7</v>
      </c>
      <c r="U71" s="90">
        <v>360.1</v>
      </c>
      <c r="V71" s="63">
        <f t="shared" ref="V71:V81" si="47">SUM(S71:U71)/3</f>
        <v>360.10000000000008</v>
      </c>
      <c r="W71" s="111">
        <f t="shared" ref="W71:W81" si="48">V71*91</f>
        <v>32769.100000000006</v>
      </c>
      <c r="X71" s="64">
        <f t="shared" si="40"/>
        <v>372.3416666666667</v>
      </c>
      <c r="Y71" s="65">
        <f t="shared" si="41"/>
        <v>135904.70833333334</v>
      </c>
    </row>
    <row r="72" spans="1:25" ht="15" customHeight="1" thickBot="1" x14ac:dyDescent="0.3">
      <c r="A72" s="50" t="s">
        <v>15</v>
      </c>
      <c r="B72" s="42">
        <v>58</v>
      </c>
      <c r="C72" s="42">
        <v>52</v>
      </c>
      <c r="D72" s="4">
        <v>57.1</v>
      </c>
      <c r="E72" s="4">
        <v>59.2</v>
      </c>
      <c r="F72" s="3">
        <v>56.4</v>
      </c>
      <c r="G72" s="63">
        <f t="shared" si="39"/>
        <v>57.56666666666667</v>
      </c>
      <c r="H72" s="108">
        <f t="shared" si="42"/>
        <v>5296.1333333333332</v>
      </c>
      <c r="I72" s="3">
        <v>57.8</v>
      </c>
      <c r="J72" s="3">
        <v>49.9</v>
      </c>
      <c r="K72" s="3">
        <v>46.7</v>
      </c>
      <c r="L72" s="63">
        <f t="shared" si="43"/>
        <v>51.466666666666661</v>
      </c>
      <c r="M72" s="108">
        <f t="shared" si="44"/>
        <v>4734.9333333333325</v>
      </c>
      <c r="N72" s="3">
        <v>47.7</v>
      </c>
      <c r="O72" s="87">
        <v>54.7</v>
      </c>
      <c r="P72" s="87">
        <v>55.7</v>
      </c>
      <c r="Q72" s="63">
        <f t="shared" si="45"/>
        <v>52.70000000000001</v>
      </c>
      <c r="R72" s="108">
        <f t="shared" si="46"/>
        <v>4743.0000000000009</v>
      </c>
      <c r="S72" s="3">
        <v>55.3</v>
      </c>
      <c r="T72" s="87">
        <v>51</v>
      </c>
      <c r="U72" s="90">
        <v>51.1</v>
      </c>
      <c r="V72" s="63">
        <f t="shared" si="47"/>
        <v>52.466666666666669</v>
      </c>
      <c r="W72" s="111">
        <f t="shared" si="48"/>
        <v>4774.4666666666672</v>
      </c>
      <c r="X72" s="64">
        <f t="shared" si="40"/>
        <v>53.54999999999999</v>
      </c>
      <c r="Y72" s="65">
        <f t="shared" si="41"/>
        <v>19545.749999999996</v>
      </c>
    </row>
    <row r="73" spans="1:25" ht="15" customHeight="1" thickBot="1" x14ac:dyDescent="0.3">
      <c r="A73" s="50" t="s">
        <v>16</v>
      </c>
      <c r="B73" s="42">
        <v>232</v>
      </c>
      <c r="C73" s="42">
        <v>226</v>
      </c>
      <c r="D73" s="4">
        <v>232.6</v>
      </c>
      <c r="E73" s="4">
        <v>234.1</v>
      </c>
      <c r="F73" s="3">
        <v>226.9</v>
      </c>
      <c r="G73" s="63">
        <f t="shared" si="39"/>
        <v>231.20000000000002</v>
      </c>
      <c r="H73" s="108">
        <f t="shared" si="42"/>
        <v>21270.400000000001</v>
      </c>
      <c r="I73" s="3">
        <v>220.9</v>
      </c>
      <c r="J73" s="3">
        <v>229</v>
      </c>
      <c r="K73" s="3">
        <v>227.2</v>
      </c>
      <c r="L73" s="63">
        <f t="shared" si="43"/>
        <v>225.69999999999996</v>
      </c>
      <c r="M73" s="108">
        <f t="shared" si="44"/>
        <v>20764.399999999998</v>
      </c>
      <c r="N73" s="3">
        <v>229.1</v>
      </c>
      <c r="O73" s="87">
        <v>234.4</v>
      </c>
      <c r="P73" s="87">
        <v>224.3</v>
      </c>
      <c r="Q73" s="63">
        <f t="shared" si="45"/>
        <v>229.26666666666665</v>
      </c>
      <c r="R73" s="108">
        <f t="shared" si="46"/>
        <v>20634</v>
      </c>
      <c r="S73" s="3">
        <v>210.7</v>
      </c>
      <c r="T73" s="87">
        <v>206.3</v>
      </c>
      <c r="U73" s="90">
        <v>208.8</v>
      </c>
      <c r="V73" s="63">
        <f t="shared" si="47"/>
        <v>208.6</v>
      </c>
      <c r="W73" s="111">
        <f t="shared" si="48"/>
        <v>18982.599999999999</v>
      </c>
      <c r="X73" s="64">
        <f t="shared" si="40"/>
        <v>223.69166666666669</v>
      </c>
      <c r="Y73" s="65">
        <f t="shared" si="41"/>
        <v>81647.458333333343</v>
      </c>
    </row>
    <row r="74" spans="1:25" ht="15" customHeight="1" thickBot="1" x14ac:dyDescent="0.3">
      <c r="A74" s="50" t="s">
        <v>129</v>
      </c>
      <c r="B74" s="42">
        <v>102</v>
      </c>
      <c r="C74" s="42">
        <v>98</v>
      </c>
      <c r="D74" s="4">
        <v>99.5</v>
      </c>
      <c r="E74" s="4">
        <v>101.7</v>
      </c>
      <c r="F74" s="3">
        <v>100.2</v>
      </c>
      <c r="G74" s="63">
        <f t="shared" si="39"/>
        <v>100.46666666666665</v>
      </c>
      <c r="H74" s="108">
        <f t="shared" si="42"/>
        <v>9242.9333333333325</v>
      </c>
      <c r="I74" s="3">
        <v>102.6</v>
      </c>
      <c r="J74" s="3">
        <v>99.6</v>
      </c>
      <c r="K74" s="3">
        <v>99.3</v>
      </c>
      <c r="L74" s="63">
        <f t="shared" si="43"/>
        <v>100.5</v>
      </c>
      <c r="M74" s="108">
        <f t="shared" si="44"/>
        <v>9246</v>
      </c>
      <c r="N74" s="3">
        <v>104.3</v>
      </c>
      <c r="O74" s="87">
        <v>103.5</v>
      </c>
      <c r="P74" s="87">
        <v>96.3</v>
      </c>
      <c r="Q74" s="63">
        <f t="shared" si="45"/>
        <v>101.36666666666667</v>
      </c>
      <c r="R74" s="108">
        <f t="shared" si="46"/>
        <v>9123</v>
      </c>
      <c r="S74" s="3">
        <v>101.9</v>
      </c>
      <c r="T74" s="87">
        <v>100.3</v>
      </c>
      <c r="U74" s="90">
        <v>95.1</v>
      </c>
      <c r="V74" s="63">
        <f t="shared" si="47"/>
        <v>99.09999999999998</v>
      </c>
      <c r="W74" s="111">
        <f t="shared" si="48"/>
        <v>9018.0999999999985</v>
      </c>
      <c r="X74" s="64">
        <f t="shared" si="40"/>
        <v>100.35833333333331</v>
      </c>
      <c r="Y74" s="65">
        <f t="shared" si="41"/>
        <v>36630.791666666657</v>
      </c>
    </row>
    <row r="75" spans="1:25" ht="15" customHeight="1" thickBot="1" x14ac:dyDescent="0.3">
      <c r="A75" s="51" t="s">
        <v>260</v>
      </c>
      <c r="B75" s="42">
        <f>338+176</f>
        <v>514</v>
      </c>
      <c r="C75" s="42">
        <f>327+176</f>
        <v>503</v>
      </c>
      <c r="D75" s="4">
        <f>300.8+176</f>
        <v>476.8</v>
      </c>
      <c r="E75" s="4">
        <f>311.9+176</f>
        <v>487.9</v>
      </c>
      <c r="F75" s="3">
        <f>322.2+175.7</f>
        <v>497.9</v>
      </c>
      <c r="G75" s="63">
        <f t="shared" si="39"/>
        <v>487.5333333333333</v>
      </c>
      <c r="H75" s="108">
        <f t="shared" si="42"/>
        <v>44853.066666666666</v>
      </c>
      <c r="I75" s="3">
        <f>320.9+176</f>
        <v>496.9</v>
      </c>
      <c r="J75" s="3">
        <f>312.4+176</f>
        <v>488.4</v>
      </c>
      <c r="K75" s="3">
        <f>313.6+175.9</f>
        <v>489.5</v>
      </c>
      <c r="L75" s="63">
        <f t="shared" si="43"/>
        <v>491.59999999999997</v>
      </c>
      <c r="M75" s="108">
        <f t="shared" si="44"/>
        <v>45227.199999999997</v>
      </c>
      <c r="N75" s="3">
        <f>316.5+175.9</f>
        <v>492.4</v>
      </c>
      <c r="O75" s="87">
        <f>325.2+175.8</f>
        <v>501</v>
      </c>
      <c r="P75" s="87">
        <f>323.7+175.9</f>
        <v>499.6</v>
      </c>
      <c r="Q75" s="63">
        <f t="shared" si="45"/>
        <v>497.66666666666669</v>
      </c>
      <c r="R75" s="108">
        <f t="shared" si="46"/>
        <v>44790</v>
      </c>
      <c r="S75" s="3">
        <f>323.7+175.9</f>
        <v>499.6</v>
      </c>
      <c r="T75" s="87">
        <f>323.7+176</f>
        <v>499.7</v>
      </c>
      <c r="U75" s="90">
        <f>316.1+175.8</f>
        <v>491.90000000000003</v>
      </c>
      <c r="V75" s="63">
        <f t="shared" si="47"/>
        <v>497.06666666666666</v>
      </c>
      <c r="W75" s="111">
        <f>V75*91</f>
        <v>45233.066666666666</v>
      </c>
      <c r="X75" s="64">
        <f t="shared" si="40"/>
        <v>493.4666666666667</v>
      </c>
      <c r="Y75" s="65">
        <f t="shared" si="41"/>
        <v>180115.33333333334</v>
      </c>
    </row>
    <row r="76" spans="1:25" ht="15" customHeight="1" thickBot="1" x14ac:dyDescent="0.3">
      <c r="A76" s="50" t="s">
        <v>138</v>
      </c>
      <c r="B76" s="42">
        <v>128</v>
      </c>
      <c r="C76" s="42">
        <v>128</v>
      </c>
      <c r="D76" s="4">
        <v>0</v>
      </c>
      <c r="E76" s="4">
        <v>0</v>
      </c>
      <c r="F76" s="4">
        <v>0</v>
      </c>
      <c r="G76" s="63">
        <f t="shared" si="39"/>
        <v>0</v>
      </c>
      <c r="H76" s="108">
        <f t="shared" si="42"/>
        <v>0</v>
      </c>
      <c r="I76" s="4">
        <v>0</v>
      </c>
      <c r="J76" s="4">
        <v>0</v>
      </c>
      <c r="K76" s="4">
        <v>0</v>
      </c>
      <c r="L76" s="63">
        <f t="shared" si="43"/>
        <v>0</v>
      </c>
      <c r="M76" s="108">
        <f t="shared" si="44"/>
        <v>0</v>
      </c>
      <c r="N76" s="4">
        <v>0</v>
      </c>
      <c r="O76" s="4">
        <v>0</v>
      </c>
      <c r="P76" s="4">
        <v>0</v>
      </c>
      <c r="Q76" s="63">
        <f t="shared" si="45"/>
        <v>0</v>
      </c>
      <c r="R76" s="108">
        <f t="shared" si="46"/>
        <v>0</v>
      </c>
      <c r="S76" s="4">
        <v>0</v>
      </c>
      <c r="T76" s="4">
        <v>0</v>
      </c>
      <c r="U76" s="90">
        <v>48</v>
      </c>
      <c r="V76" s="63">
        <f>SUM(S76:U76)/3</f>
        <v>16</v>
      </c>
      <c r="W76" s="111">
        <f>V76*91</f>
        <v>1456</v>
      </c>
      <c r="X76" s="665">
        <f>SUM(D76+E76+F76+I76+J76+K76+N76+O76+P76+S76+T76+U76)/12</f>
        <v>4</v>
      </c>
      <c r="Y76" s="65">
        <f t="shared" si="41"/>
        <v>1460</v>
      </c>
    </row>
    <row r="77" spans="1:25" ht="15" customHeight="1" thickBot="1" x14ac:dyDescent="0.3">
      <c r="A77" s="49" t="s">
        <v>19</v>
      </c>
      <c r="B77" s="42">
        <v>551</v>
      </c>
      <c r="C77" s="42">
        <v>535</v>
      </c>
      <c r="D77" s="126">
        <v>523.4</v>
      </c>
      <c r="E77" s="126">
        <v>519.20000000000005</v>
      </c>
      <c r="F77" s="118">
        <v>522.79999999999995</v>
      </c>
      <c r="G77" s="63">
        <f>SUM(D77:F77)/3</f>
        <v>521.79999999999995</v>
      </c>
      <c r="H77" s="108">
        <f t="shared" si="42"/>
        <v>48005.599999999999</v>
      </c>
      <c r="I77" s="118">
        <v>515</v>
      </c>
      <c r="J77" s="3">
        <v>505.2</v>
      </c>
      <c r="K77" s="118">
        <v>497.1</v>
      </c>
      <c r="L77" s="63">
        <f t="shared" si="43"/>
        <v>505.76666666666671</v>
      </c>
      <c r="M77" s="111">
        <f t="shared" si="44"/>
        <v>46530.53333333334</v>
      </c>
      <c r="N77" s="3">
        <v>503.1</v>
      </c>
      <c r="O77" s="86">
        <v>511.1</v>
      </c>
      <c r="P77" s="86">
        <v>514.5</v>
      </c>
      <c r="Q77" s="63">
        <f t="shared" si="45"/>
        <v>509.56666666666666</v>
      </c>
      <c r="R77" s="108">
        <f t="shared" si="46"/>
        <v>45861</v>
      </c>
      <c r="S77" s="3">
        <v>514.4</v>
      </c>
      <c r="T77" s="86">
        <v>523.70000000000005</v>
      </c>
      <c r="U77" s="89">
        <v>521.6</v>
      </c>
      <c r="V77" s="63">
        <f t="shared" si="47"/>
        <v>519.9</v>
      </c>
      <c r="W77" s="111">
        <f t="shared" si="48"/>
        <v>47310.9</v>
      </c>
      <c r="X77" s="64">
        <f t="shared" si="40"/>
        <v>514.25833333333333</v>
      </c>
      <c r="Y77" s="65">
        <f t="shared" si="41"/>
        <v>187704.29166666666</v>
      </c>
    </row>
    <row r="78" spans="1:25" ht="15" customHeight="1" thickBot="1" x14ac:dyDescent="0.3">
      <c r="A78" s="51" t="s">
        <v>431</v>
      </c>
      <c r="B78" s="42">
        <f>326+115</f>
        <v>441</v>
      </c>
      <c r="C78" s="42">
        <f>320+110</f>
        <v>430</v>
      </c>
      <c r="D78" s="4">
        <f>332.1+101.6</f>
        <v>433.70000000000005</v>
      </c>
      <c r="E78" s="4">
        <f>340.5+99.6</f>
        <v>440.1</v>
      </c>
      <c r="F78" s="3">
        <f>322.9+102.5</f>
        <v>425.4</v>
      </c>
      <c r="G78" s="63">
        <f>SUM(D78:F78)/3</f>
        <v>433.06666666666666</v>
      </c>
      <c r="H78" s="108">
        <f t="shared" si="42"/>
        <v>39842.133333333331</v>
      </c>
      <c r="I78" s="3">
        <f>309.3+100.4</f>
        <v>409.70000000000005</v>
      </c>
      <c r="J78" s="3">
        <f>295+108.8</f>
        <v>403.8</v>
      </c>
      <c r="K78" s="3">
        <f>279.1+105.3</f>
        <v>384.40000000000003</v>
      </c>
      <c r="L78" s="63">
        <f t="shared" si="43"/>
        <v>399.3</v>
      </c>
      <c r="M78" s="108">
        <f t="shared" si="44"/>
        <v>36735.599999999999</v>
      </c>
      <c r="N78" s="3">
        <f>289.2+108.6</f>
        <v>397.79999999999995</v>
      </c>
      <c r="O78" s="87">
        <f>286.3+106.1</f>
        <v>392.4</v>
      </c>
      <c r="P78" s="87">
        <f>272+106</f>
        <v>378</v>
      </c>
      <c r="Q78" s="63">
        <f t="shared" si="45"/>
        <v>389.39999999999992</v>
      </c>
      <c r="R78" s="108">
        <f t="shared" si="46"/>
        <v>35045.999999999993</v>
      </c>
      <c r="S78" s="3">
        <f>275.3+110.6</f>
        <v>385.9</v>
      </c>
      <c r="T78" s="87">
        <f>280+100.6</f>
        <v>380.6</v>
      </c>
      <c r="U78" s="90">
        <f>278.5+118.4</f>
        <v>396.9</v>
      </c>
      <c r="V78" s="63">
        <f t="shared" si="47"/>
        <v>387.8</v>
      </c>
      <c r="W78" s="111">
        <f t="shared" si="48"/>
        <v>35289.800000000003</v>
      </c>
      <c r="X78" s="64">
        <f t="shared" si="40"/>
        <v>402.39166666666671</v>
      </c>
      <c r="Y78" s="65">
        <f t="shared" si="41"/>
        <v>146872.95833333334</v>
      </c>
    </row>
    <row r="79" spans="1:25" ht="15" customHeight="1" thickBot="1" x14ac:dyDescent="0.3">
      <c r="A79" s="50" t="s">
        <v>130</v>
      </c>
      <c r="B79" s="42">
        <v>200</v>
      </c>
      <c r="C79" s="42">
        <v>189</v>
      </c>
      <c r="D79" s="4">
        <v>171.9</v>
      </c>
      <c r="E79" s="4">
        <v>185.8</v>
      </c>
      <c r="F79" s="3">
        <v>190.7</v>
      </c>
      <c r="G79" s="63">
        <f>SUM(D79:F79)/3</f>
        <v>182.80000000000004</v>
      </c>
      <c r="H79" s="108">
        <f t="shared" si="42"/>
        <v>16817.600000000002</v>
      </c>
      <c r="I79" s="3">
        <v>196.5</v>
      </c>
      <c r="J79" s="3">
        <v>190.2</v>
      </c>
      <c r="K79" s="3">
        <v>187.2</v>
      </c>
      <c r="L79" s="63">
        <f t="shared" si="43"/>
        <v>191.29999999999998</v>
      </c>
      <c r="M79" s="108">
        <f t="shared" si="44"/>
        <v>17599.599999999999</v>
      </c>
      <c r="N79" s="3">
        <v>194.2</v>
      </c>
      <c r="O79" s="87">
        <v>182.8</v>
      </c>
      <c r="P79" s="87">
        <v>180.8</v>
      </c>
      <c r="Q79" s="63">
        <f t="shared" si="45"/>
        <v>185.93333333333331</v>
      </c>
      <c r="R79" s="108">
        <f t="shared" si="46"/>
        <v>16733.999999999996</v>
      </c>
      <c r="S79" s="3">
        <v>176.7</v>
      </c>
      <c r="T79" s="87">
        <v>175.5</v>
      </c>
      <c r="U79" s="90">
        <v>172.1</v>
      </c>
      <c r="V79" s="63">
        <f t="shared" si="47"/>
        <v>174.76666666666665</v>
      </c>
      <c r="W79" s="111">
        <f t="shared" si="48"/>
        <v>15903.766666666665</v>
      </c>
      <c r="X79" s="64">
        <f t="shared" si="40"/>
        <v>183.70000000000002</v>
      </c>
      <c r="Y79" s="65">
        <f t="shared" si="41"/>
        <v>67050.5</v>
      </c>
    </row>
    <row r="80" spans="1:25" ht="15" customHeight="1" thickBot="1" x14ac:dyDescent="0.3">
      <c r="A80" s="50" t="s">
        <v>131</v>
      </c>
      <c r="B80" s="34"/>
      <c r="C80" s="34"/>
      <c r="D80" s="4">
        <v>0</v>
      </c>
      <c r="E80" s="4">
        <v>0</v>
      </c>
      <c r="F80" s="4">
        <v>0</v>
      </c>
      <c r="G80" s="67">
        <f>SUM(D80:F80)/3</f>
        <v>0</v>
      </c>
      <c r="H80" s="108">
        <f t="shared" si="42"/>
        <v>0</v>
      </c>
      <c r="I80" s="4">
        <v>0</v>
      </c>
      <c r="J80" s="4">
        <v>0</v>
      </c>
      <c r="K80" s="4">
        <v>0</v>
      </c>
      <c r="L80" s="67">
        <f t="shared" si="43"/>
        <v>0</v>
      </c>
      <c r="M80" s="108">
        <f t="shared" si="44"/>
        <v>0</v>
      </c>
      <c r="N80" s="4">
        <v>0</v>
      </c>
      <c r="O80" s="4">
        <v>0</v>
      </c>
      <c r="P80" s="4">
        <v>0</v>
      </c>
      <c r="Q80" s="67">
        <f t="shared" si="45"/>
        <v>0</v>
      </c>
      <c r="R80" s="108">
        <f t="shared" si="46"/>
        <v>0</v>
      </c>
      <c r="S80" s="3" t="s">
        <v>103</v>
      </c>
      <c r="T80" s="3" t="s">
        <v>103</v>
      </c>
      <c r="U80" s="4" t="s">
        <v>103</v>
      </c>
      <c r="V80" s="67">
        <f t="shared" si="47"/>
        <v>0</v>
      </c>
      <c r="W80" s="112">
        <f t="shared" si="48"/>
        <v>0</v>
      </c>
      <c r="X80" s="64">
        <v>0</v>
      </c>
      <c r="Y80" s="65">
        <f t="shared" si="41"/>
        <v>0</v>
      </c>
    </row>
    <row r="81" spans="1:25" ht="15" customHeight="1" thickBot="1" x14ac:dyDescent="0.3">
      <c r="A81" s="626" t="s">
        <v>139</v>
      </c>
      <c r="B81" s="627"/>
      <c r="C81" s="627"/>
      <c r="D81" s="628">
        <f>SUM(D67:D80)</f>
        <v>4938.6999999999989</v>
      </c>
      <c r="E81" s="628">
        <f>SUM(E67:E80)</f>
        <v>4977.9000000000005</v>
      </c>
      <c r="F81" s="628">
        <f>SUM(F67:F80)</f>
        <v>4958.0999999999995</v>
      </c>
      <c r="G81" s="629">
        <f>SUM(D81:F81)/3</f>
        <v>4958.2333333333327</v>
      </c>
      <c r="H81" s="630">
        <f>G81*92</f>
        <v>456157.46666666662</v>
      </c>
      <c r="I81" s="631">
        <f>SUM(I67:I80)</f>
        <v>4887.4000000000005</v>
      </c>
      <c r="J81" s="628">
        <f>SUM(J67:J80)</f>
        <v>4876.0999999999995</v>
      </c>
      <c r="K81" s="628">
        <f>SUM(K67:K80)</f>
        <v>4748.8999999999996</v>
      </c>
      <c r="L81" s="629">
        <f t="shared" si="43"/>
        <v>4837.4666666666662</v>
      </c>
      <c r="M81" s="632">
        <f t="shared" si="44"/>
        <v>445046.93333333329</v>
      </c>
      <c r="N81" s="633">
        <f>SUM(N67:N80)</f>
        <v>4747.2</v>
      </c>
      <c r="O81" s="628">
        <f>SUM(O67:O80)</f>
        <v>4812.8</v>
      </c>
      <c r="P81" s="628">
        <f>SUM(P67:P80)</f>
        <v>4724.8</v>
      </c>
      <c r="Q81" s="629">
        <f t="shared" si="45"/>
        <v>4761.5999999999995</v>
      </c>
      <c r="R81" s="632">
        <f t="shared" si="46"/>
        <v>428543.99999999994</v>
      </c>
      <c r="S81" s="631">
        <f>SUM(S67:S80)</f>
        <v>4735.1999999999989</v>
      </c>
      <c r="T81" s="628">
        <f>SUM(T67:T79)</f>
        <v>4687.1000000000004</v>
      </c>
      <c r="U81" s="634">
        <f>SUM(U67:U80)</f>
        <v>4673.8</v>
      </c>
      <c r="V81" s="629">
        <f t="shared" si="47"/>
        <v>4698.7</v>
      </c>
      <c r="W81" s="635">
        <f t="shared" si="48"/>
        <v>427581.7</v>
      </c>
      <c r="X81" s="636">
        <f>SUM(D81+E81+F81+I81+J81+K81+N81+O81+P81+S81+T81+U81)/12</f>
        <v>4814</v>
      </c>
      <c r="Y81" s="636">
        <f>SUM(Y67:Y80)</f>
        <v>1757109.9999999998</v>
      </c>
    </row>
    <row r="82" spans="1:25" ht="15" customHeight="1" thickBot="1" x14ac:dyDescent="0.3">
      <c r="A82" s="46" t="s">
        <v>140</v>
      </c>
      <c r="B82" s="35"/>
      <c r="C82" s="35"/>
      <c r="D82" s="70"/>
      <c r="E82" s="70"/>
      <c r="F82" s="71"/>
      <c r="G82" s="98"/>
      <c r="H82" s="98"/>
      <c r="I82" s="72"/>
      <c r="J82" s="70"/>
      <c r="K82" s="71"/>
      <c r="L82" s="97"/>
      <c r="M82" s="97"/>
      <c r="N82" s="72"/>
      <c r="O82" s="70"/>
      <c r="P82" s="71"/>
      <c r="Q82" s="97"/>
      <c r="R82" s="97"/>
      <c r="S82" s="72"/>
      <c r="T82" s="70"/>
      <c r="U82" s="71"/>
      <c r="V82" s="71"/>
      <c r="W82" s="70"/>
      <c r="X82" s="96"/>
      <c r="Y82" s="69" t="s">
        <v>0</v>
      </c>
    </row>
    <row r="83" spans="1:25" ht="15" customHeight="1" thickBot="1" x14ac:dyDescent="0.3">
      <c r="A83" s="637" t="s">
        <v>132</v>
      </c>
      <c r="B83" s="638" t="s">
        <v>469</v>
      </c>
      <c r="C83" s="638" t="s">
        <v>103</v>
      </c>
      <c r="D83" s="639">
        <v>672.81</v>
      </c>
      <c r="E83" s="639">
        <v>677.1</v>
      </c>
      <c r="F83" s="639">
        <v>681.9</v>
      </c>
      <c r="G83" s="640">
        <f t="shared" ref="G83:G89" si="49">SUM(D83:F83)/3</f>
        <v>677.27</v>
      </c>
      <c r="H83" s="641">
        <f t="shared" ref="H83:H89" si="50">G83*92</f>
        <v>62308.84</v>
      </c>
      <c r="I83" s="639">
        <v>648</v>
      </c>
      <c r="J83" s="639">
        <v>633.63</v>
      </c>
      <c r="K83" s="639">
        <v>647.29</v>
      </c>
      <c r="L83" s="640">
        <f t="shared" ref="L83:L90" si="51">SUM(I83:K83)/3</f>
        <v>642.97333333333336</v>
      </c>
      <c r="M83" s="641">
        <f t="shared" ref="M83:M89" si="52">L83*92</f>
        <v>59153.546666666669</v>
      </c>
      <c r="N83" s="639">
        <f>547.74+77.9</f>
        <v>625.64</v>
      </c>
      <c r="O83" s="642">
        <v>607.83000000000004</v>
      </c>
      <c r="P83" s="642">
        <f>563.77+86.23</f>
        <v>650</v>
      </c>
      <c r="Q83" s="640">
        <f t="shared" ref="Q83:Q90" si="53">SUM(N83:P83)/3</f>
        <v>627.82333333333338</v>
      </c>
      <c r="R83" s="641">
        <f t="shared" ref="R83:R89" si="54">Q83*90</f>
        <v>56504.100000000006</v>
      </c>
      <c r="S83" s="639">
        <f>552.63+74.57</f>
        <v>627.20000000000005</v>
      </c>
      <c r="T83" s="642">
        <v>587.65</v>
      </c>
      <c r="U83" s="643">
        <f>502.5+59.23</f>
        <v>561.73</v>
      </c>
      <c r="V83" s="640">
        <f t="shared" ref="V83:V90" si="55">SUM(S83:U83)/3</f>
        <v>592.19333333333327</v>
      </c>
      <c r="W83" s="644">
        <f t="shared" ref="W83:W89" si="56">V83*91</f>
        <v>53889.593333333331</v>
      </c>
      <c r="X83" s="645">
        <f>SUM(D83+E83+F83+I83+J83+K83+N83+O83+P83+S83+T83+U83)/12</f>
        <v>635.06499999999994</v>
      </c>
      <c r="Y83" s="646">
        <f t="shared" ref="Y83:Y88" si="57">X83*365</f>
        <v>231798.72499999998</v>
      </c>
    </row>
    <row r="84" spans="1:25" ht="15" customHeight="1" thickBot="1" x14ac:dyDescent="0.3">
      <c r="A84" s="50" t="s">
        <v>133</v>
      </c>
      <c r="B84" s="496">
        <v>35</v>
      </c>
      <c r="C84" s="496" t="s">
        <v>103</v>
      </c>
      <c r="D84" s="5">
        <v>5</v>
      </c>
      <c r="E84" s="5">
        <v>7.23</v>
      </c>
      <c r="F84" s="5">
        <f>1+8</f>
        <v>9</v>
      </c>
      <c r="G84" s="63">
        <f t="shared" si="49"/>
        <v>7.0766666666666671</v>
      </c>
      <c r="H84" s="108">
        <f t="shared" si="50"/>
        <v>651.0533333333334</v>
      </c>
      <c r="I84" s="5">
        <f>1+8.1</f>
        <v>9.1</v>
      </c>
      <c r="J84" s="5">
        <f>1+8.1</f>
        <v>9.1</v>
      </c>
      <c r="K84" s="5">
        <f>1+8.71</f>
        <v>9.7100000000000009</v>
      </c>
      <c r="L84" s="63">
        <f t="shared" si="51"/>
        <v>9.3033333333333328</v>
      </c>
      <c r="M84" s="108">
        <f t="shared" si="52"/>
        <v>855.90666666666664</v>
      </c>
      <c r="N84" s="5">
        <f>1+8</f>
        <v>9</v>
      </c>
      <c r="O84" s="75">
        <f>1+7.31</f>
        <v>8.3099999999999987</v>
      </c>
      <c r="P84" s="75">
        <f>1+7</f>
        <v>8</v>
      </c>
      <c r="Q84" s="63">
        <f t="shared" si="53"/>
        <v>8.4366666666666656</v>
      </c>
      <c r="R84" s="108">
        <f t="shared" si="54"/>
        <v>759.3</v>
      </c>
      <c r="S84" s="5">
        <f>1+7.07</f>
        <v>8.07</v>
      </c>
      <c r="T84" s="75">
        <f>2.48+7.52</f>
        <v>10</v>
      </c>
      <c r="U84" s="76">
        <f>7.5+6</f>
        <v>13.5</v>
      </c>
      <c r="V84" s="63">
        <f t="shared" si="55"/>
        <v>10.523333333333333</v>
      </c>
      <c r="W84" s="111">
        <f t="shared" si="56"/>
        <v>957.62333333333333</v>
      </c>
      <c r="X84" s="64">
        <f>SUM(D84+E84+F84+I84+J84+K84+N84+O84+P84+S84+T84+U84)/12</f>
        <v>8.8350000000000009</v>
      </c>
      <c r="Y84" s="65">
        <f t="shared" si="57"/>
        <v>3224.7750000000001</v>
      </c>
    </row>
    <row r="85" spans="1:25" ht="15" customHeight="1" thickBot="1" x14ac:dyDescent="0.3">
      <c r="A85" s="50" t="s">
        <v>135</v>
      </c>
      <c r="B85" s="496">
        <v>26</v>
      </c>
      <c r="C85" s="496" t="s">
        <v>103</v>
      </c>
      <c r="D85" s="5">
        <v>15</v>
      </c>
      <c r="E85" s="5">
        <v>17</v>
      </c>
      <c r="F85" s="5">
        <v>16</v>
      </c>
      <c r="G85" s="63">
        <f t="shared" si="49"/>
        <v>16</v>
      </c>
      <c r="H85" s="108">
        <f t="shared" si="50"/>
        <v>1472</v>
      </c>
      <c r="I85" s="5">
        <v>17</v>
      </c>
      <c r="J85" s="5">
        <v>17</v>
      </c>
      <c r="K85" s="5">
        <v>16</v>
      </c>
      <c r="L85" s="63">
        <f t="shared" si="51"/>
        <v>16.666666666666668</v>
      </c>
      <c r="M85" s="108">
        <f t="shared" si="52"/>
        <v>1533.3333333333335</v>
      </c>
      <c r="N85" s="5">
        <v>19</v>
      </c>
      <c r="O85" s="75">
        <v>18</v>
      </c>
      <c r="P85" s="75">
        <v>17</v>
      </c>
      <c r="Q85" s="63">
        <f t="shared" si="53"/>
        <v>18</v>
      </c>
      <c r="R85" s="108">
        <f t="shared" si="54"/>
        <v>1620</v>
      </c>
      <c r="S85" s="5">
        <v>15</v>
      </c>
      <c r="T85" s="75">
        <v>16</v>
      </c>
      <c r="U85" s="76">
        <v>16</v>
      </c>
      <c r="V85" s="63">
        <f t="shared" si="55"/>
        <v>15.666666666666666</v>
      </c>
      <c r="W85" s="111">
        <f t="shared" si="56"/>
        <v>1425.6666666666665</v>
      </c>
      <c r="X85" s="64">
        <f>SUM(D85+E85+F85+I85+J85+K85+N85+O85+P85+S85+T85+U85)/12</f>
        <v>16.583333333333332</v>
      </c>
      <c r="Y85" s="65">
        <f t="shared" si="57"/>
        <v>6052.9166666666661</v>
      </c>
    </row>
    <row r="86" spans="1:25" ht="15" customHeight="1" thickBot="1" x14ac:dyDescent="0.3">
      <c r="A86" s="50" t="s">
        <v>134</v>
      </c>
      <c r="B86" s="496" t="s">
        <v>434</v>
      </c>
      <c r="C86" s="496" t="s">
        <v>103</v>
      </c>
      <c r="D86" s="5">
        <v>437</v>
      </c>
      <c r="E86" s="5">
        <v>420</v>
      </c>
      <c r="F86" s="5">
        <v>429</v>
      </c>
      <c r="G86" s="63">
        <f t="shared" si="49"/>
        <v>428.66666666666669</v>
      </c>
      <c r="H86" s="108">
        <f t="shared" si="50"/>
        <v>39437.333333333336</v>
      </c>
      <c r="I86" s="5">
        <v>447</v>
      </c>
      <c r="J86" s="5">
        <v>466</v>
      </c>
      <c r="K86" s="5">
        <v>437</v>
      </c>
      <c r="L86" s="63">
        <f t="shared" si="51"/>
        <v>450</v>
      </c>
      <c r="M86" s="108">
        <f t="shared" si="52"/>
        <v>41400</v>
      </c>
      <c r="N86" s="5">
        <v>419</v>
      </c>
      <c r="O86" s="75">
        <v>404</v>
      </c>
      <c r="P86" s="75">
        <v>410</v>
      </c>
      <c r="Q86" s="63">
        <f t="shared" si="53"/>
        <v>411</v>
      </c>
      <c r="R86" s="108">
        <f t="shared" si="54"/>
        <v>36990</v>
      </c>
      <c r="S86" s="5">
        <v>404</v>
      </c>
      <c r="T86" s="75">
        <v>383</v>
      </c>
      <c r="U86" s="76">
        <v>373</v>
      </c>
      <c r="V86" s="63">
        <f t="shared" si="55"/>
        <v>386.66666666666669</v>
      </c>
      <c r="W86" s="111">
        <f t="shared" si="56"/>
        <v>35186.666666666672</v>
      </c>
      <c r="X86" s="64">
        <f>SUM(D86+E86+F86+I86+J86+K86+N86+O86+P86+S86+T86+U86)/12</f>
        <v>419.08333333333331</v>
      </c>
      <c r="Y86" s="65">
        <f t="shared" si="57"/>
        <v>152965.41666666666</v>
      </c>
    </row>
    <row r="87" spans="1:25" ht="15" customHeight="1" thickBot="1" x14ac:dyDescent="0.3">
      <c r="A87" s="50" t="s">
        <v>339</v>
      </c>
      <c r="B87" s="496">
        <v>1050</v>
      </c>
      <c r="C87" s="496" t="s">
        <v>103</v>
      </c>
      <c r="D87" s="5" t="s">
        <v>534</v>
      </c>
      <c r="E87" s="5" t="s">
        <v>534</v>
      </c>
      <c r="F87" s="5" t="s">
        <v>534</v>
      </c>
      <c r="G87" s="63">
        <f t="shared" si="49"/>
        <v>0</v>
      </c>
      <c r="H87" s="108">
        <f t="shared" si="50"/>
        <v>0</v>
      </c>
      <c r="I87" s="5" t="s">
        <v>534</v>
      </c>
      <c r="J87" s="5" t="s">
        <v>534</v>
      </c>
      <c r="K87" s="5" t="s">
        <v>534</v>
      </c>
      <c r="L87" s="63">
        <f t="shared" si="51"/>
        <v>0</v>
      </c>
      <c r="M87" s="108">
        <f t="shared" si="52"/>
        <v>0</v>
      </c>
      <c r="N87" s="5" t="s">
        <v>534</v>
      </c>
      <c r="O87" s="75" t="s">
        <v>534</v>
      </c>
      <c r="P87" s="75" t="s">
        <v>534</v>
      </c>
      <c r="Q87" s="63">
        <f t="shared" si="53"/>
        <v>0</v>
      </c>
      <c r="R87" s="108">
        <f t="shared" si="54"/>
        <v>0</v>
      </c>
      <c r="S87" s="5" t="s">
        <v>534</v>
      </c>
      <c r="T87" s="75" t="s">
        <v>534</v>
      </c>
      <c r="U87" s="76" t="s">
        <v>534</v>
      </c>
      <c r="V87" s="63">
        <f t="shared" si="55"/>
        <v>0</v>
      </c>
      <c r="W87" s="111">
        <f t="shared" si="56"/>
        <v>0</v>
      </c>
      <c r="X87" s="64">
        <v>0</v>
      </c>
      <c r="Y87" s="65">
        <f t="shared" si="57"/>
        <v>0</v>
      </c>
    </row>
    <row r="88" spans="1:25" ht="15" customHeight="1" thickBot="1" x14ac:dyDescent="0.3">
      <c r="A88" s="50" t="s">
        <v>137</v>
      </c>
      <c r="B88" s="496" t="s">
        <v>434</v>
      </c>
      <c r="C88" s="496" t="s">
        <v>103</v>
      </c>
      <c r="D88" s="5">
        <v>12</v>
      </c>
      <c r="E88" s="5">
        <v>12</v>
      </c>
      <c r="F88" s="5">
        <v>12</v>
      </c>
      <c r="G88" s="63">
        <f t="shared" si="49"/>
        <v>12</v>
      </c>
      <c r="H88" s="108">
        <f t="shared" si="50"/>
        <v>1104</v>
      </c>
      <c r="I88" s="5">
        <v>12</v>
      </c>
      <c r="J88" s="5">
        <v>11</v>
      </c>
      <c r="K88" s="5">
        <v>11</v>
      </c>
      <c r="L88" s="63">
        <f t="shared" si="51"/>
        <v>11.333333333333334</v>
      </c>
      <c r="M88" s="108">
        <f t="shared" si="52"/>
        <v>1042.6666666666667</v>
      </c>
      <c r="N88" s="5">
        <v>10</v>
      </c>
      <c r="O88" s="75">
        <v>9</v>
      </c>
      <c r="P88" s="75">
        <v>9</v>
      </c>
      <c r="Q88" s="63">
        <f t="shared" si="53"/>
        <v>9.3333333333333339</v>
      </c>
      <c r="R88" s="108">
        <f t="shared" si="54"/>
        <v>840</v>
      </c>
      <c r="S88" s="5">
        <v>9</v>
      </c>
      <c r="T88" s="75">
        <v>9</v>
      </c>
      <c r="U88" s="76">
        <v>9</v>
      </c>
      <c r="V88" s="63">
        <f t="shared" si="55"/>
        <v>9</v>
      </c>
      <c r="W88" s="112">
        <f t="shared" si="56"/>
        <v>819</v>
      </c>
      <c r="X88" s="64">
        <f>SUM(D88+E88+F88+I88+J88+K88+N88+O88+P88+S88+T88+U88)/12</f>
        <v>10.416666666666666</v>
      </c>
      <c r="Y88" s="65">
        <f t="shared" si="57"/>
        <v>3802.083333333333</v>
      </c>
    </row>
    <row r="89" spans="1:25" ht="15" customHeight="1" thickBot="1" x14ac:dyDescent="0.3">
      <c r="A89" s="53" t="s">
        <v>141</v>
      </c>
      <c r="B89" s="37"/>
      <c r="C89" s="37"/>
      <c r="D89" s="80">
        <f>SUM(D83:D88)</f>
        <v>1141.81</v>
      </c>
      <c r="E89" s="80">
        <f>SUM(E83:E88)</f>
        <v>1133.33</v>
      </c>
      <c r="F89" s="80">
        <f>SUM(F83:F88)</f>
        <v>1147.9000000000001</v>
      </c>
      <c r="G89" s="68">
        <f t="shared" si="49"/>
        <v>1141.0133333333333</v>
      </c>
      <c r="H89" s="108">
        <f t="shared" si="50"/>
        <v>104973.22666666667</v>
      </c>
      <c r="I89" s="94">
        <f>SUM(I83:I88)</f>
        <v>1133.0999999999999</v>
      </c>
      <c r="J89" s="80">
        <f>SUM(J83:J88)</f>
        <v>1136.73</v>
      </c>
      <c r="K89" s="80">
        <f>SUM(K83:K88)</f>
        <v>1121</v>
      </c>
      <c r="L89" s="68">
        <f t="shared" si="51"/>
        <v>1130.2766666666666</v>
      </c>
      <c r="M89" s="119">
        <f t="shared" si="52"/>
        <v>103985.45333333334</v>
      </c>
      <c r="N89" s="94">
        <f>SUM(N83:N88)</f>
        <v>1082.6399999999999</v>
      </c>
      <c r="O89" s="80">
        <f>SUM(O83:O88)</f>
        <v>1047.1399999999999</v>
      </c>
      <c r="P89" s="80">
        <f>SUM(P83:P88)</f>
        <v>1094</v>
      </c>
      <c r="Q89" s="68">
        <f t="shared" si="53"/>
        <v>1074.5933333333332</v>
      </c>
      <c r="R89" s="108">
        <f t="shared" si="54"/>
        <v>96713.4</v>
      </c>
      <c r="S89" s="94">
        <f>SUM(S83:S88)</f>
        <v>1063.27</v>
      </c>
      <c r="T89" s="80">
        <f>SUM(T83:T88)</f>
        <v>1005.65</v>
      </c>
      <c r="U89" s="81">
        <f>SUM(U83:U88)</f>
        <v>973.23</v>
      </c>
      <c r="V89" s="68">
        <f t="shared" si="55"/>
        <v>1014.0500000000001</v>
      </c>
      <c r="W89" s="120">
        <f t="shared" si="56"/>
        <v>92278.55</v>
      </c>
      <c r="X89" s="69">
        <f>SUM(X83:X88)</f>
        <v>1089.9833333333333</v>
      </c>
      <c r="Y89" s="69">
        <f>SUM(Y83:Y88)</f>
        <v>397843.91666666657</v>
      </c>
    </row>
    <row r="90" spans="1:25" ht="15" customHeight="1" thickBot="1" x14ac:dyDescent="0.3">
      <c r="A90" s="54" t="s">
        <v>145</v>
      </c>
      <c r="B90" s="38"/>
      <c r="C90" s="38"/>
      <c r="D90" s="80">
        <f>D81+D89</f>
        <v>6080.5099999999984</v>
      </c>
      <c r="E90" s="80">
        <f>E81+E89</f>
        <v>6111.2300000000005</v>
      </c>
      <c r="F90" s="80">
        <f>F81+F89</f>
        <v>6106</v>
      </c>
      <c r="G90" s="80">
        <f>G81+G89</f>
        <v>6099.246666666666</v>
      </c>
      <c r="H90" s="68">
        <f>SUM(H81+H89)</f>
        <v>561130.69333333324</v>
      </c>
      <c r="I90" s="80">
        <f>I81+I89</f>
        <v>6020.5</v>
      </c>
      <c r="J90" s="80">
        <f>J81+J89</f>
        <v>6012.83</v>
      </c>
      <c r="K90" s="80">
        <f>K81+K89</f>
        <v>5869.9</v>
      </c>
      <c r="L90" s="120">
        <f t="shared" si="51"/>
        <v>5967.7433333333329</v>
      </c>
      <c r="M90" s="68">
        <f>SUM(M81+M89)</f>
        <v>549032.3866666666</v>
      </c>
      <c r="N90" s="94">
        <f>N81+N89</f>
        <v>5829.84</v>
      </c>
      <c r="O90" s="80">
        <f>O81+O89</f>
        <v>5859.9400000000005</v>
      </c>
      <c r="P90" s="80">
        <f>P81+P89</f>
        <v>5818.8</v>
      </c>
      <c r="Q90" s="99">
        <f t="shared" si="53"/>
        <v>5836.1933333333336</v>
      </c>
      <c r="R90" s="68">
        <f>SUM(R81+R89)</f>
        <v>525257.39999999991</v>
      </c>
      <c r="S90" s="94">
        <f>S81+S89</f>
        <v>5798.4699999999993</v>
      </c>
      <c r="T90" s="80">
        <f>T81+T89</f>
        <v>5692.75</v>
      </c>
      <c r="U90" s="81">
        <f>U81+U89</f>
        <v>5647.0300000000007</v>
      </c>
      <c r="V90" s="99">
        <f t="shared" si="55"/>
        <v>5712.75</v>
      </c>
      <c r="W90" s="68">
        <f>SUM(W81+W89)</f>
        <v>519860.25</v>
      </c>
      <c r="X90" s="80">
        <f>X81+X89</f>
        <v>5903.9833333333336</v>
      </c>
      <c r="Y90" s="82">
        <f>Y81+Y89</f>
        <v>2154953.9166666665</v>
      </c>
    </row>
    <row r="91" spans="1:25" ht="15" customHeight="1" x14ac:dyDescent="0.25">
      <c r="A91" s="114" t="s">
        <v>535</v>
      </c>
      <c r="B91" s="19"/>
      <c r="C91" s="19"/>
      <c r="D91" s="115"/>
      <c r="E91" s="115"/>
      <c r="F91" s="115"/>
      <c r="G91" s="115"/>
      <c r="H91" s="113"/>
      <c r="I91" s="115"/>
      <c r="J91" s="115"/>
      <c r="K91" s="115"/>
      <c r="L91" s="139"/>
      <c r="M91" s="113"/>
      <c r="N91" s="115"/>
      <c r="O91" s="115"/>
      <c r="P91" s="115"/>
      <c r="Q91" s="93"/>
      <c r="R91" s="113"/>
      <c r="S91" s="115"/>
      <c r="T91" s="115"/>
      <c r="U91" s="115"/>
      <c r="V91" s="93"/>
      <c r="W91" s="113"/>
      <c r="X91" s="115"/>
      <c r="Y91" s="115"/>
    </row>
    <row r="92" spans="1:25" ht="15" customHeight="1" x14ac:dyDescent="0.25">
      <c r="A92" s="114" t="s">
        <v>536</v>
      </c>
      <c r="B92" s="19"/>
      <c r="C92" s="19"/>
      <c r="D92" s="115"/>
      <c r="E92" s="115"/>
      <c r="F92" s="115"/>
      <c r="G92" s="115"/>
      <c r="H92" s="113"/>
      <c r="I92" s="115"/>
      <c r="J92" s="115"/>
      <c r="K92" s="115"/>
      <c r="L92" s="139"/>
      <c r="M92" s="113"/>
      <c r="N92" s="115"/>
      <c r="O92" s="115"/>
      <c r="P92" s="115"/>
      <c r="Q92" s="93"/>
      <c r="R92" s="113"/>
      <c r="S92" s="115"/>
      <c r="T92" s="115"/>
      <c r="U92" s="115"/>
      <c r="V92" s="93"/>
      <c r="W92" s="113"/>
      <c r="X92" s="115"/>
      <c r="Y92" s="115"/>
    </row>
    <row r="93" spans="1:25" ht="15" customHeight="1" x14ac:dyDescent="0.25">
      <c r="A93" s="114" t="s">
        <v>470</v>
      </c>
      <c r="B93" s="19"/>
      <c r="C93" s="19"/>
      <c r="D93" s="115"/>
      <c r="E93" s="115"/>
      <c r="F93" s="115"/>
      <c r="G93" s="115"/>
      <c r="H93" s="113"/>
      <c r="I93" s="115"/>
      <c r="J93" s="115"/>
      <c r="K93" s="115"/>
      <c r="L93" s="139"/>
      <c r="M93" s="113"/>
      <c r="N93" s="115"/>
      <c r="O93" s="115"/>
      <c r="P93" s="115"/>
      <c r="Q93" s="93"/>
      <c r="R93" s="113"/>
      <c r="S93" s="115"/>
      <c r="T93" s="115"/>
      <c r="U93" s="115"/>
      <c r="V93" s="93"/>
      <c r="W93" s="113"/>
      <c r="X93" s="115"/>
      <c r="Y93" s="115"/>
    </row>
    <row r="94" spans="1:25" ht="15" customHeight="1" x14ac:dyDescent="0.25">
      <c r="A94" s="114" t="s">
        <v>514</v>
      </c>
      <c r="B94" s="19"/>
      <c r="C94" s="19"/>
      <c r="D94" s="115"/>
      <c r="E94" s="115"/>
      <c r="F94" s="115"/>
      <c r="G94" s="115"/>
      <c r="H94" s="113"/>
      <c r="I94" s="115"/>
      <c r="J94" s="115"/>
      <c r="K94" s="115"/>
      <c r="L94" s="139"/>
      <c r="M94" s="113"/>
      <c r="N94" s="115"/>
      <c r="O94" s="115"/>
      <c r="P94" s="115"/>
      <c r="Q94" s="93"/>
      <c r="R94" s="113"/>
      <c r="S94" s="115"/>
      <c r="T94" s="115"/>
      <c r="U94" s="115"/>
      <c r="V94" s="93"/>
      <c r="W94" s="113"/>
      <c r="X94" s="115"/>
      <c r="Y94" s="115"/>
    </row>
    <row r="95" spans="1:25" ht="15" customHeight="1" x14ac:dyDescent="0.2">
      <c r="A95" s="45" t="s">
        <v>144</v>
      </c>
      <c r="B95" s="10"/>
      <c r="C95" s="10"/>
      <c r="D95" s="13"/>
      <c r="E95" s="13"/>
      <c r="F95" s="13"/>
      <c r="G95" s="13"/>
      <c r="H95" s="13"/>
      <c r="I95" s="13"/>
      <c r="J95" s="13"/>
      <c r="K95" s="13"/>
      <c r="L95" s="13"/>
      <c r="M95" s="13"/>
      <c r="N95" s="13"/>
      <c r="O95" s="13"/>
      <c r="P95" s="13"/>
      <c r="Q95" s="13"/>
      <c r="R95" s="13"/>
      <c r="S95" s="13"/>
      <c r="T95" s="13"/>
      <c r="U95" s="13"/>
      <c r="V95" s="13"/>
      <c r="W95" s="13"/>
      <c r="X95" s="13"/>
      <c r="Y95" s="13"/>
    </row>
    <row r="96" spans="1:25" ht="15" customHeight="1" x14ac:dyDescent="0.2">
      <c r="A96" s="45" t="s">
        <v>144</v>
      </c>
      <c r="B96" s="10"/>
      <c r="C96" s="10"/>
      <c r="D96" s="13"/>
      <c r="E96" s="13"/>
      <c r="F96" s="13"/>
      <c r="G96" s="13"/>
      <c r="H96" s="13"/>
      <c r="I96" s="13"/>
      <c r="J96" s="13"/>
      <c r="K96" s="13"/>
      <c r="L96" s="13"/>
      <c r="M96" s="13"/>
      <c r="N96" s="13"/>
      <c r="O96" s="13"/>
      <c r="P96" s="13"/>
      <c r="Q96" s="13"/>
      <c r="R96" s="13"/>
      <c r="S96" s="13"/>
      <c r="T96" s="13"/>
      <c r="U96" s="13"/>
      <c r="V96" s="13"/>
      <c r="W96" s="13"/>
      <c r="X96" s="13"/>
      <c r="Y96" s="13"/>
    </row>
    <row r="98" spans="1:24" ht="20.25" customHeight="1" x14ac:dyDescent="0.2">
      <c r="A98" s="45"/>
      <c r="B98" s="10"/>
      <c r="C98" s="13"/>
      <c r="D98" s="13"/>
      <c r="E98" s="13"/>
      <c r="F98" s="13"/>
      <c r="G98" s="13"/>
      <c r="H98" s="13"/>
      <c r="I98" s="13"/>
      <c r="J98" s="13"/>
      <c r="K98" s="13"/>
      <c r="L98" s="13"/>
      <c r="M98" s="13"/>
      <c r="N98" s="13"/>
      <c r="O98" s="13"/>
      <c r="P98" s="13"/>
      <c r="Q98" s="13"/>
      <c r="R98" s="13"/>
      <c r="S98" s="13"/>
      <c r="T98" s="13"/>
      <c r="U98" s="13"/>
      <c r="V98" s="13"/>
      <c r="W98" s="13"/>
      <c r="X98" s="13"/>
    </row>
    <row r="99" spans="1:24" ht="15" customHeight="1" thickBot="1" x14ac:dyDescent="0.25">
      <c r="A99" s="45" t="s">
        <v>144</v>
      </c>
      <c r="B99" s="10"/>
      <c r="C99" s="13"/>
      <c r="D99" s="13"/>
      <c r="E99" s="13"/>
      <c r="F99" s="13"/>
      <c r="G99" s="13"/>
      <c r="H99" s="13"/>
      <c r="I99" s="13"/>
      <c r="J99" s="13"/>
      <c r="K99" s="13"/>
      <c r="L99" s="13"/>
      <c r="M99" s="13"/>
      <c r="N99" s="13"/>
      <c r="O99" s="13"/>
      <c r="P99" s="13"/>
      <c r="Q99" s="13"/>
      <c r="R99" s="13"/>
      <c r="S99" s="13"/>
      <c r="T99" s="13"/>
      <c r="U99" s="13"/>
      <c r="V99" s="13"/>
      <c r="W99" s="13"/>
      <c r="X99" s="13"/>
    </row>
    <row r="100" spans="1:24" ht="15" customHeight="1" thickBot="1" x14ac:dyDescent="0.3">
      <c r="A100" s="648" t="s">
        <v>537</v>
      </c>
      <c r="B100" s="1055" t="s">
        <v>142</v>
      </c>
      <c r="C100" s="1056"/>
      <c r="D100" s="1056"/>
      <c r="E100" s="1056"/>
      <c r="F100" s="1056"/>
      <c r="G100" s="1056"/>
      <c r="H100" s="1056"/>
      <c r="I100" s="1056"/>
      <c r="J100" s="1056"/>
      <c r="K100" s="1056"/>
      <c r="L100" s="1056"/>
      <c r="M100" s="1056"/>
      <c r="N100" s="1056"/>
      <c r="O100" s="1056"/>
      <c r="P100" s="1056"/>
      <c r="Q100" s="1056"/>
      <c r="R100" s="1056"/>
      <c r="S100" s="1056"/>
      <c r="T100" s="1056"/>
      <c r="U100" s="39"/>
      <c r="V100" s="39"/>
      <c r="W100" s="92"/>
      <c r="X100" s="13"/>
    </row>
    <row r="101" spans="1:24" ht="15" customHeight="1" x14ac:dyDescent="0.25">
      <c r="A101" s="56"/>
      <c r="B101" s="40" t="s">
        <v>245</v>
      </c>
      <c r="C101" s="57"/>
      <c r="D101" s="58"/>
      <c r="E101" s="58"/>
      <c r="F101" s="1047" t="s">
        <v>242</v>
      </c>
      <c r="G101" s="1049" t="s">
        <v>262</v>
      </c>
      <c r="H101" s="58"/>
      <c r="I101" s="58"/>
      <c r="J101" s="58"/>
      <c r="K101" s="1047" t="s">
        <v>242</v>
      </c>
      <c r="L101" s="1049" t="s">
        <v>262</v>
      </c>
      <c r="M101" s="58"/>
      <c r="N101" s="58"/>
      <c r="O101" s="58"/>
      <c r="P101" s="1047" t="s">
        <v>242</v>
      </c>
      <c r="Q101" s="1039" t="s">
        <v>262</v>
      </c>
      <c r="R101" s="58"/>
      <c r="S101" s="58"/>
      <c r="T101" s="59"/>
      <c r="U101" s="1047" t="s">
        <v>242</v>
      </c>
      <c r="V101" s="1039" t="s">
        <v>262</v>
      </c>
      <c r="W101" s="1041" t="s">
        <v>143</v>
      </c>
      <c r="X101" s="1043" t="s">
        <v>144</v>
      </c>
    </row>
    <row r="102" spans="1:24" ht="15" customHeight="1" thickBot="1" x14ac:dyDescent="0.3">
      <c r="A102" s="47" t="s">
        <v>55</v>
      </c>
      <c r="B102" s="41" t="s">
        <v>429</v>
      </c>
      <c r="C102" s="60">
        <v>41821</v>
      </c>
      <c r="D102" s="61">
        <v>41852</v>
      </c>
      <c r="E102" s="61">
        <v>41883</v>
      </c>
      <c r="F102" s="1048"/>
      <c r="G102" s="1050"/>
      <c r="H102" s="61">
        <v>41913</v>
      </c>
      <c r="I102" s="61">
        <v>41944</v>
      </c>
      <c r="J102" s="61">
        <v>41974</v>
      </c>
      <c r="K102" s="1048"/>
      <c r="L102" s="1050"/>
      <c r="M102" s="61">
        <v>42005</v>
      </c>
      <c r="N102" s="61">
        <v>42036</v>
      </c>
      <c r="O102" s="61">
        <v>42064</v>
      </c>
      <c r="P102" s="1048"/>
      <c r="Q102" s="1040"/>
      <c r="R102" s="61">
        <v>42095</v>
      </c>
      <c r="S102" s="61">
        <v>42125</v>
      </c>
      <c r="T102" s="62">
        <v>42156</v>
      </c>
      <c r="U102" s="1048"/>
      <c r="V102" s="1040"/>
      <c r="W102" s="1042"/>
      <c r="X102" s="1044"/>
    </row>
    <row r="103" spans="1:24" ht="15" customHeight="1" thickBot="1" x14ac:dyDescent="0.3">
      <c r="A103" s="48" t="s">
        <v>294</v>
      </c>
      <c r="B103" s="42" t="s">
        <v>465</v>
      </c>
      <c r="C103" s="125">
        <v>839.9</v>
      </c>
      <c r="D103" s="125">
        <v>851.6</v>
      </c>
      <c r="E103" s="117">
        <v>853.9</v>
      </c>
      <c r="F103" s="63">
        <f>SUM(C103:E103)/3</f>
        <v>848.4666666666667</v>
      </c>
      <c r="G103" s="108">
        <f>F103*92</f>
        <v>78058.933333333334</v>
      </c>
      <c r="H103" s="117">
        <v>843.4</v>
      </c>
      <c r="I103" s="117">
        <v>852.8</v>
      </c>
      <c r="J103" s="117">
        <v>853.2</v>
      </c>
      <c r="K103" s="63">
        <f>SUM(H103:J103)/3</f>
        <v>849.79999999999984</v>
      </c>
      <c r="L103" s="108">
        <f>K103*92</f>
        <v>78181.599999999991</v>
      </c>
      <c r="M103" s="117">
        <v>871.8</v>
      </c>
      <c r="N103" s="85">
        <v>857.3</v>
      </c>
      <c r="O103" s="85">
        <v>830.4</v>
      </c>
      <c r="P103" s="63">
        <f>SUM(M103:O103)/3</f>
        <v>853.16666666666663</v>
      </c>
      <c r="Q103" s="108">
        <f>P103*90</f>
        <v>76785</v>
      </c>
      <c r="R103" s="117">
        <v>837.8</v>
      </c>
      <c r="S103" s="85">
        <v>849.1</v>
      </c>
      <c r="T103" s="135">
        <v>843.6</v>
      </c>
      <c r="U103" s="63">
        <f>SUM(R103:T103)/3</f>
        <v>843.5</v>
      </c>
      <c r="V103" s="111">
        <f>U103*91</f>
        <v>76758.5</v>
      </c>
      <c r="W103" s="64">
        <f>SUM(C103+D103+E103+H103+I103+J103+M103+N103+O103+R103+S103+T103)/12</f>
        <v>848.73333333333346</v>
      </c>
      <c r="X103" s="65">
        <f>W103*365</f>
        <v>309787.66666666669</v>
      </c>
    </row>
    <row r="104" spans="1:24" ht="15" customHeight="1" thickBot="1" x14ac:dyDescent="0.3">
      <c r="A104" s="49" t="s">
        <v>127</v>
      </c>
      <c r="B104" s="43" t="s">
        <v>430</v>
      </c>
      <c r="C104" s="126">
        <v>121.1</v>
      </c>
      <c r="D104" s="126">
        <v>118.2</v>
      </c>
      <c r="E104" s="118">
        <v>119.4</v>
      </c>
      <c r="F104" s="63">
        <f>SUM(C104:E104)/3</f>
        <v>119.56666666666668</v>
      </c>
      <c r="G104" s="108">
        <f>F104*92</f>
        <v>11000.133333333335</v>
      </c>
      <c r="H104" s="118">
        <v>110.9</v>
      </c>
      <c r="I104" s="118">
        <v>105.6</v>
      </c>
      <c r="J104" s="118">
        <v>106.7</v>
      </c>
      <c r="K104" s="63">
        <f>SUM(H104:J104)/3</f>
        <v>107.73333333333333</v>
      </c>
      <c r="L104" s="108">
        <f>K104*92</f>
        <v>9911.4666666666672</v>
      </c>
      <c r="M104" s="118">
        <v>114.6</v>
      </c>
      <c r="N104" s="86">
        <v>117.9</v>
      </c>
      <c r="O104" s="86">
        <v>94.3</v>
      </c>
      <c r="P104" s="63">
        <f>SUM(M104:O104)/3</f>
        <v>108.93333333333334</v>
      </c>
      <c r="Q104" s="108">
        <f>P104*90</f>
        <v>9804</v>
      </c>
      <c r="R104" s="118">
        <v>95.7</v>
      </c>
      <c r="S104" s="86">
        <v>126.2</v>
      </c>
      <c r="T104" s="89">
        <v>114.7</v>
      </c>
      <c r="U104" s="63">
        <f>SUM(R104:T104)/3</f>
        <v>112.2</v>
      </c>
      <c r="V104" s="111">
        <f>U104*91</f>
        <v>10210.200000000001</v>
      </c>
      <c r="W104" s="64">
        <f t="shared" ref="W104:W115" si="58">SUM(C104+D104+E104+H104+I104+J104+M104+N104+O104+R104+S104+T104)/12</f>
        <v>112.10833333333335</v>
      </c>
      <c r="X104" s="65">
        <f t="shared" ref="X104:X116" si="59">W104*365</f>
        <v>40919.541666666672</v>
      </c>
    </row>
    <row r="105" spans="1:24" ht="15" customHeight="1" thickBot="1" x14ac:dyDescent="0.3">
      <c r="A105" s="50" t="s">
        <v>319</v>
      </c>
      <c r="B105" s="44" t="s">
        <v>318</v>
      </c>
      <c r="C105" s="4">
        <v>263.89999999999998</v>
      </c>
      <c r="D105" s="4">
        <v>249.5</v>
      </c>
      <c r="E105" s="3">
        <v>258.7</v>
      </c>
      <c r="F105" s="63">
        <f>SUM(C105:E105)/3</f>
        <v>257.36666666666662</v>
      </c>
      <c r="G105" s="108">
        <f>F105*92</f>
        <v>23677.73333333333</v>
      </c>
      <c r="H105" s="3">
        <v>248.3</v>
      </c>
      <c r="I105" s="3">
        <v>268.3</v>
      </c>
      <c r="J105" s="3">
        <v>265</v>
      </c>
      <c r="K105" s="63">
        <f>SUM(H105:J105)/3</f>
        <v>260.53333333333336</v>
      </c>
      <c r="L105" s="108">
        <f>K105*92</f>
        <v>23969.066666666669</v>
      </c>
      <c r="M105" s="3">
        <v>277.5</v>
      </c>
      <c r="N105" s="87">
        <v>292.3</v>
      </c>
      <c r="O105" s="87">
        <v>273.3</v>
      </c>
      <c r="P105" s="63">
        <f>SUM(M105:O105)/3</f>
        <v>281.0333333333333</v>
      </c>
      <c r="Q105" s="108">
        <f>P105*90</f>
        <v>25292.999999999996</v>
      </c>
      <c r="R105" s="3">
        <v>280.7</v>
      </c>
      <c r="S105" s="87">
        <v>286.5</v>
      </c>
      <c r="T105" s="90">
        <v>272.60000000000002</v>
      </c>
      <c r="U105" s="63">
        <f>SUM(R105:T105)/3</f>
        <v>279.93333333333334</v>
      </c>
      <c r="V105" s="111">
        <f>U105*91</f>
        <v>25473.933333333334</v>
      </c>
      <c r="W105" s="64">
        <f t="shared" si="58"/>
        <v>269.71666666666664</v>
      </c>
      <c r="X105" s="65">
        <f t="shared" si="59"/>
        <v>98446.583333333328</v>
      </c>
    </row>
    <row r="106" spans="1:24" ht="15" customHeight="1" thickBot="1" x14ac:dyDescent="0.3">
      <c r="A106" s="50" t="s">
        <v>436</v>
      </c>
      <c r="B106" s="44" t="s">
        <v>530</v>
      </c>
      <c r="C106" s="4">
        <v>1388.4</v>
      </c>
      <c r="D106" s="4">
        <v>1411.3</v>
      </c>
      <c r="E106" s="3">
        <v>1411.3</v>
      </c>
      <c r="F106" s="63">
        <f>SUM(C106:E106)/3</f>
        <v>1403.6666666666667</v>
      </c>
      <c r="G106" s="108">
        <f>F106*92</f>
        <v>129137.33333333334</v>
      </c>
      <c r="H106" s="3">
        <v>1411.9</v>
      </c>
      <c r="I106" s="3">
        <v>1424.9</v>
      </c>
      <c r="J106" s="3">
        <v>1416.8</v>
      </c>
      <c r="K106" s="63">
        <f>SUM(H106:J106)/3</f>
        <v>1417.8666666666668</v>
      </c>
      <c r="L106" s="108">
        <f>K106*92</f>
        <v>130443.73333333334</v>
      </c>
      <c r="M106" s="3">
        <v>1421</v>
      </c>
      <c r="N106" s="87">
        <v>1423.6</v>
      </c>
      <c r="O106" s="87">
        <v>1422.7</v>
      </c>
      <c r="P106" s="63">
        <f>SUM(M106:O106)/3</f>
        <v>1422.4333333333334</v>
      </c>
      <c r="Q106" s="108">
        <f>P106*90</f>
        <v>128019</v>
      </c>
      <c r="R106" s="3">
        <v>1393</v>
      </c>
      <c r="S106" s="87">
        <v>1378.3</v>
      </c>
      <c r="T106" s="90">
        <v>1367.1</v>
      </c>
      <c r="U106" s="63">
        <f>SUM(R106:T106)/3</f>
        <v>1379.4666666666665</v>
      </c>
      <c r="V106" s="111">
        <f>U106*91</f>
        <v>125531.46666666665</v>
      </c>
      <c r="W106" s="64">
        <f t="shared" si="58"/>
        <v>1405.8583333333333</v>
      </c>
      <c r="X106" s="65">
        <f t="shared" si="59"/>
        <v>513138.29166666669</v>
      </c>
    </row>
    <row r="107" spans="1:24" ht="15" customHeight="1" thickBot="1" x14ac:dyDescent="0.3">
      <c r="A107" s="51" t="s">
        <v>259</v>
      </c>
      <c r="B107" s="44" t="s">
        <v>283</v>
      </c>
      <c r="C107" s="4">
        <v>414.8</v>
      </c>
      <c r="D107" s="4">
        <v>409.1</v>
      </c>
      <c r="E107" s="3">
        <v>439.9</v>
      </c>
      <c r="F107" s="63">
        <f t="shared" ref="F107:F116" si="60">SUM(C107:E107)/3</f>
        <v>421.26666666666671</v>
      </c>
      <c r="G107" s="108">
        <f t="shared" ref="G107:G116" si="61">F107*92</f>
        <v>38756.53333333334</v>
      </c>
      <c r="H107" s="3">
        <v>423.5</v>
      </c>
      <c r="I107" s="3">
        <v>413.7</v>
      </c>
      <c r="J107" s="3">
        <v>407.7</v>
      </c>
      <c r="K107" s="63">
        <f t="shared" ref="K107:K117" si="62">SUM(H107:J107)/3</f>
        <v>414.9666666666667</v>
      </c>
      <c r="L107" s="108">
        <f t="shared" ref="L107:L117" si="63">K107*92</f>
        <v>38176.933333333334</v>
      </c>
      <c r="M107" s="3">
        <v>441.6</v>
      </c>
      <c r="N107" s="87">
        <v>429.2</v>
      </c>
      <c r="O107" s="87">
        <v>433.3</v>
      </c>
      <c r="P107" s="63">
        <f t="shared" ref="P107:P117" si="64">SUM(M107:O107)/3</f>
        <v>434.7</v>
      </c>
      <c r="Q107" s="108">
        <f t="shared" ref="Q107:Q117" si="65">P107*90</f>
        <v>39123</v>
      </c>
      <c r="R107" s="3">
        <v>421.7</v>
      </c>
      <c r="S107" s="87">
        <v>425</v>
      </c>
      <c r="T107" s="90">
        <v>426</v>
      </c>
      <c r="U107" s="63">
        <f t="shared" ref="U107:U117" si="66">SUM(R107:T107)/3</f>
        <v>424.23333333333335</v>
      </c>
      <c r="V107" s="111">
        <f t="shared" ref="V107:V117" si="67">U107*91</f>
        <v>38605.233333333337</v>
      </c>
      <c r="W107" s="64">
        <f t="shared" si="58"/>
        <v>423.79166666666669</v>
      </c>
      <c r="X107" s="65">
        <f t="shared" si="59"/>
        <v>154683.95833333334</v>
      </c>
    </row>
    <row r="108" spans="1:24" ht="15" customHeight="1" thickBot="1" x14ac:dyDescent="0.3">
      <c r="A108" s="50" t="s">
        <v>15</v>
      </c>
      <c r="B108" s="44" t="s">
        <v>252</v>
      </c>
      <c r="C108" s="4">
        <v>66.2</v>
      </c>
      <c r="D108" s="4">
        <v>72.599999999999994</v>
      </c>
      <c r="E108" s="3">
        <v>69</v>
      </c>
      <c r="F108" s="63">
        <f t="shared" si="60"/>
        <v>69.266666666666666</v>
      </c>
      <c r="G108" s="108">
        <f t="shared" si="61"/>
        <v>6372.5333333333328</v>
      </c>
      <c r="H108" s="3">
        <v>75</v>
      </c>
      <c r="I108" s="3">
        <v>61.9</v>
      </c>
      <c r="J108" s="3">
        <v>57.8</v>
      </c>
      <c r="K108" s="63">
        <f t="shared" si="62"/>
        <v>64.899999999999991</v>
      </c>
      <c r="L108" s="108">
        <f t="shared" si="63"/>
        <v>5970.7999999999993</v>
      </c>
      <c r="M108" s="3">
        <v>59</v>
      </c>
      <c r="N108" s="87">
        <v>62.9</v>
      </c>
      <c r="O108" s="87">
        <v>55.2</v>
      </c>
      <c r="P108" s="63">
        <f t="shared" si="64"/>
        <v>59.033333333333339</v>
      </c>
      <c r="Q108" s="108">
        <f t="shared" si="65"/>
        <v>5313.0000000000009</v>
      </c>
      <c r="R108" s="3">
        <v>62.2</v>
      </c>
      <c r="S108" s="87">
        <v>55.8</v>
      </c>
      <c r="T108" s="90">
        <v>58.4</v>
      </c>
      <c r="U108" s="63">
        <f t="shared" si="66"/>
        <v>58.800000000000004</v>
      </c>
      <c r="V108" s="111">
        <f t="shared" si="67"/>
        <v>5350.8</v>
      </c>
      <c r="W108" s="64">
        <f t="shared" si="58"/>
        <v>63</v>
      </c>
      <c r="X108" s="65">
        <f t="shared" si="59"/>
        <v>22995</v>
      </c>
    </row>
    <row r="109" spans="1:24" ht="15" customHeight="1" thickBot="1" x14ac:dyDescent="0.3">
      <c r="A109" s="50" t="s">
        <v>16</v>
      </c>
      <c r="B109" s="44" t="s">
        <v>467</v>
      </c>
      <c r="C109" s="4">
        <v>231.5</v>
      </c>
      <c r="D109" s="4">
        <v>231.6</v>
      </c>
      <c r="E109" s="3">
        <v>225.7</v>
      </c>
      <c r="F109" s="63">
        <f t="shared" si="60"/>
        <v>229.6</v>
      </c>
      <c r="G109" s="108">
        <f t="shared" si="61"/>
        <v>21123.200000000001</v>
      </c>
      <c r="H109" s="3">
        <v>229.4</v>
      </c>
      <c r="I109" s="3">
        <v>237.3</v>
      </c>
      <c r="J109" s="3">
        <v>244.4</v>
      </c>
      <c r="K109" s="63">
        <f t="shared" si="62"/>
        <v>237.03333333333333</v>
      </c>
      <c r="L109" s="108">
        <f t="shared" si="63"/>
        <v>21807.066666666666</v>
      </c>
      <c r="M109" s="3">
        <v>253</v>
      </c>
      <c r="N109" s="87">
        <v>248.4</v>
      </c>
      <c r="O109" s="87">
        <v>243.2</v>
      </c>
      <c r="P109" s="63">
        <f t="shared" si="64"/>
        <v>248.19999999999996</v>
      </c>
      <c r="Q109" s="108">
        <f t="shared" si="65"/>
        <v>22337.999999999996</v>
      </c>
      <c r="R109" s="3">
        <v>233</v>
      </c>
      <c r="S109" s="87">
        <v>228.4</v>
      </c>
      <c r="T109" s="90">
        <v>236.7</v>
      </c>
      <c r="U109" s="63">
        <f t="shared" si="66"/>
        <v>232.69999999999996</v>
      </c>
      <c r="V109" s="111">
        <f t="shared" si="67"/>
        <v>21175.699999999997</v>
      </c>
      <c r="W109" s="64">
        <f t="shared" si="58"/>
        <v>236.88333333333333</v>
      </c>
      <c r="X109" s="65">
        <f t="shared" si="59"/>
        <v>86462.416666666657</v>
      </c>
    </row>
    <row r="110" spans="1:24" ht="15" customHeight="1" thickBot="1" x14ac:dyDescent="0.3">
      <c r="A110" s="50" t="s">
        <v>129</v>
      </c>
      <c r="B110" s="44" t="s">
        <v>285</v>
      </c>
      <c r="C110" s="4">
        <v>110.1</v>
      </c>
      <c r="D110" s="4">
        <v>107.3</v>
      </c>
      <c r="E110" s="3">
        <v>110.1</v>
      </c>
      <c r="F110" s="63">
        <f t="shared" si="60"/>
        <v>109.16666666666667</v>
      </c>
      <c r="G110" s="108">
        <f t="shared" si="61"/>
        <v>10043.333333333334</v>
      </c>
      <c r="H110" s="3">
        <v>112.2</v>
      </c>
      <c r="I110" s="3">
        <v>112.1</v>
      </c>
      <c r="J110" s="3">
        <v>105</v>
      </c>
      <c r="K110" s="63">
        <f t="shared" si="62"/>
        <v>109.76666666666667</v>
      </c>
      <c r="L110" s="108">
        <f t="shared" si="63"/>
        <v>10098.533333333333</v>
      </c>
      <c r="M110" s="3">
        <v>108.2</v>
      </c>
      <c r="N110" s="87">
        <v>110.9</v>
      </c>
      <c r="O110" s="87">
        <v>103.6</v>
      </c>
      <c r="P110" s="63">
        <f t="shared" si="64"/>
        <v>107.56666666666668</v>
      </c>
      <c r="Q110" s="108">
        <f t="shared" si="65"/>
        <v>9681.0000000000018</v>
      </c>
      <c r="R110" s="3">
        <v>102.6</v>
      </c>
      <c r="S110" s="87">
        <v>101.1</v>
      </c>
      <c r="T110" s="90">
        <v>99</v>
      </c>
      <c r="U110" s="63">
        <f t="shared" si="66"/>
        <v>100.89999999999999</v>
      </c>
      <c r="V110" s="111">
        <f t="shared" si="67"/>
        <v>9181.9</v>
      </c>
      <c r="W110" s="64">
        <f t="shared" si="58"/>
        <v>106.84999999999998</v>
      </c>
      <c r="X110" s="65">
        <f t="shared" si="59"/>
        <v>39000.249999999993</v>
      </c>
    </row>
    <row r="111" spans="1:24" ht="15" customHeight="1" thickBot="1" x14ac:dyDescent="0.3">
      <c r="A111" s="51" t="s">
        <v>260</v>
      </c>
      <c r="B111" s="44" t="s">
        <v>292</v>
      </c>
      <c r="C111" s="4">
        <f>318.4+175.9</f>
        <v>494.29999999999995</v>
      </c>
      <c r="D111" s="4">
        <f>333.5+175.9</f>
        <v>509.4</v>
      </c>
      <c r="E111" s="3">
        <f>330+175.9</f>
        <v>505.9</v>
      </c>
      <c r="F111" s="63">
        <f t="shared" si="60"/>
        <v>503.2</v>
      </c>
      <c r="G111" s="108">
        <f t="shared" si="61"/>
        <v>46294.400000000001</v>
      </c>
      <c r="H111" s="3">
        <f>333.6+175.6</f>
        <v>509.20000000000005</v>
      </c>
      <c r="I111" s="3">
        <f>333.4+175.7</f>
        <v>509.09999999999997</v>
      </c>
      <c r="J111" s="3">
        <f>331.5+175.9</f>
        <v>507.4</v>
      </c>
      <c r="K111" s="63">
        <f t="shared" si="62"/>
        <v>508.56666666666661</v>
      </c>
      <c r="L111" s="108">
        <f t="shared" si="63"/>
        <v>46788.133333333331</v>
      </c>
      <c r="M111" s="3">
        <f>330+175.9</f>
        <v>505.9</v>
      </c>
      <c r="N111" s="87">
        <f>334.2+176</f>
        <v>510.2</v>
      </c>
      <c r="O111" s="87">
        <f>325.2+175.8</f>
        <v>501</v>
      </c>
      <c r="P111" s="63">
        <f t="shared" si="64"/>
        <v>505.7</v>
      </c>
      <c r="Q111" s="108">
        <f t="shared" si="65"/>
        <v>45513</v>
      </c>
      <c r="R111" s="3">
        <f>322.3+175.9</f>
        <v>498.20000000000005</v>
      </c>
      <c r="S111" s="87">
        <f>321.4+175.7</f>
        <v>497.09999999999997</v>
      </c>
      <c r="T111" s="90">
        <f>310.7+175.6</f>
        <v>486.29999999999995</v>
      </c>
      <c r="U111" s="63">
        <f t="shared" si="66"/>
        <v>493.86666666666662</v>
      </c>
      <c r="V111" s="111">
        <f t="shared" si="67"/>
        <v>44941.866666666661</v>
      </c>
      <c r="W111" s="64">
        <f t="shared" si="58"/>
        <v>502.83333333333331</v>
      </c>
      <c r="X111" s="65">
        <f t="shared" si="59"/>
        <v>183534.16666666666</v>
      </c>
    </row>
    <row r="112" spans="1:24" ht="15" customHeight="1" thickBot="1" x14ac:dyDescent="0.3">
      <c r="A112" s="50" t="s">
        <v>138</v>
      </c>
      <c r="B112" s="121" t="s">
        <v>286</v>
      </c>
      <c r="C112" s="4">
        <v>0</v>
      </c>
      <c r="D112" s="4">
        <v>0</v>
      </c>
      <c r="E112" s="4">
        <v>0</v>
      </c>
      <c r="F112" s="63">
        <v>0</v>
      </c>
      <c r="G112" s="108">
        <f t="shared" si="61"/>
        <v>0</v>
      </c>
      <c r="H112" s="4">
        <v>0</v>
      </c>
      <c r="I112" s="4">
        <v>0</v>
      </c>
      <c r="J112" s="4">
        <v>0</v>
      </c>
      <c r="K112" s="63">
        <f t="shared" si="62"/>
        <v>0</v>
      </c>
      <c r="L112" s="108">
        <f t="shared" si="63"/>
        <v>0</v>
      </c>
      <c r="M112" s="4">
        <v>0</v>
      </c>
      <c r="N112" s="4">
        <v>0</v>
      </c>
      <c r="O112" s="4">
        <v>0</v>
      </c>
      <c r="P112" s="63">
        <f t="shared" si="64"/>
        <v>0</v>
      </c>
      <c r="Q112" s="108">
        <f t="shared" si="65"/>
        <v>0</v>
      </c>
      <c r="R112" s="4">
        <v>0</v>
      </c>
      <c r="S112" s="4">
        <v>0</v>
      </c>
      <c r="T112" s="4">
        <v>0</v>
      </c>
      <c r="U112" s="63">
        <f t="shared" si="66"/>
        <v>0</v>
      </c>
      <c r="V112" s="111">
        <f t="shared" si="67"/>
        <v>0</v>
      </c>
      <c r="W112" s="64">
        <f t="shared" si="58"/>
        <v>0</v>
      </c>
      <c r="X112" s="65">
        <f>W112*365</f>
        <v>0</v>
      </c>
    </row>
    <row r="113" spans="1:24" ht="15" customHeight="1" thickBot="1" x14ac:dyDescent="0.3">
      <c r="A113" s="49" t="s">
        <v>19</v>
      </c>
      <c r="B113" s="43" t="s">
        <v>531</v>
      </c>
      <c r="C113" s="126">
        <v>527.5</v>
      </c>
      <c r="D113" s="126">
        <v>525.79999999999995</v>
      </c>
      <c r="E113" s="118">
        <v>536.1</v>
      </c>
      <c r="F113" s="63">
        <f t="shared" si="60"/>
        <v>529.80000000000007</v>
      </c>
      <c r="G113" s="108">
        <f t="shared" si="61"/>
        <v>48741.600000000006</v>
      </c>
      <c r="H113" s="118">
        <v>527.1</v>
      </c>
      <c r="I113" s="3">
        <v>527</v>
      </c>
      <c r="J113" s="118">
        <v>523.70000000000005</v>
      </c>
      <c r="K113" s="63">
        <f t="shared" si="62"/>
        <v>525.93333333333328</v>
      </c>
      <c r="L113" s="111">
        <f t="shared" si="63"/>
        <v>48385.866666666661</v>
      </c>
      <c r="M113" s="3">
        <v>525</v>
      </c>
      <c r="N113" s="86">
        <v>523</v>
      </c>
      <c r="O113" s="86">
        <v>527.5</v>
      </c>
      <c r="P113" s="63">
        <f t="shared" si="64"/>
        <v>525.16666666666663</v>
      </c>
      <c r="Q113" s="108">
        <f t="shared" si="65"/>
        <v>47265</v>
      </c>
      <c r="R113" s="3">
        <v>532</v>
      </c>
      <c r="S113" s="86">
        <v>529.20000000000005</v>
      </c>
      <c r="T113" s="89">
        <v>529.20000000000005</v>
      </c>
      <c r="U113" s="63">
        <f t="shared" si="66"/>
        <v>530.13333333333333</v>
      </c>
      <c r="V113" s="111">
        <f t="shared" si="67"/>
        <v>48242.133333333331</v>
      </c>
      <c r="W113" s="64">
        <f t="shared" si="58"/>
        <v>527.75833333333333</v>
      </c>
      <c r="X113" s="65">
        <f t="shared" si="59"/>
        <v>192631.79166666666</v>
      </c>
    </row>
    <row r="114" spans="1:24" ht="15" customHeight="1" thickBot="1" x14ac:dyDescent="0.3">
      <c r="A114" s="51" t="s">
        <v>431</v>
      </c>
      <c r="B114" s="44" t="s">
        <v>532</v>
      </c>
      <c r="C114" s="4">
        <f>311.6+96.8</f>
        <v>408.40000000000003</v>
      </c>
      <c r="D114" s="4">
        <f>310.5+102.5</f>
        <v>413</v>
      </c>
      <c r="E114" s="3">
        <f>321.3+111.1</f>
        <v>432.4</v>
      </c>
      <c r="F114" s="63">
        <f t="shared" si="60"/>
        <v>417.93333333333339</v>
      </c>
      <c r="G114" s="108">
        <f t="shared" si="61"/>
        <v>38449.866666666669</v>
      </c>
      <c r="H114" s="3">
        <f>315.6+121.3</f>
        <v>436.90000000000003</v>
      </c>
      <c r="I114" s="3">
        <f>308+122</f>
        <v>430</v>
      </c>
      <c r="J114" s="3">
        <f>294.8+124.6</f>
        <v>419.4</v>
      </c>
      <c r="K114" s="63">
        <f t="shared" si="62"/>
        <v>428.76666666666671</v>
      </c>
      <c r="L114" s="108">
        <f t="shared" si="63"/>
        <v>39446.53333333334</v>
      </c>
      <c r="M114" s="3">
        <f>311.7+127.5</f>
        <v>439.2</v>
      </c>
      <c r="N114" s="87">
        <f>311.1+124.9</f>
        <v>436</v>
      </c>
      <c r="O114" s="87">
        <f>323.3+116.3</f>
        <v>439.6</v>
      </c>
      <c r="P114" s="63">
        <f t="shared" si="64"/>
        <v>438.26666666666671</v>
      </c>
      <c r="Q114" s="108">
        <f t="shared" si="65"/>
        <v>39444.000000000007</v>
      </c>
      <c r="R114" s="3">
        <f>332.3+107.1</f>
        <v>439.4</v>
      </c>
      <c r="S114" s="87">
        <f>343.1+107.9</f>
        <v>451</v>
      </c>
      <c r="T114" s="90">
        <f>326.3+101.3</f>
        <v>427.6</v>
      </c>
      <c r="U114" s="63">
        <f t="shared" si="66"/>
        <v>439.33333333333331</v>
      </c>
      <c r="V114" s="111">
        <f t="shared" si="67"/>
        <v>39979.333333333328</v>
      </c>
      <c r="W114" s="64">
        <f t="shared" si="58"/>
        <v>431.07500000000005</v>
      </c>
      <c r="X114" s="65">
        <f t="shared" si="59"/>
        <v>157342.37500000003</v>
      </c>
    </row>
    <row r="115" spans="1:24" ht="15" customHeight="1" thickBot="1" x14ac:dyDescent="0.3">
      <c r="A115" s="50" t="s">
        <v>130</v>
      </c>
      <c r="B115" s="44" t="s">
        <v>533</v>
      </c>
      <c r="C115" s="4">
        <v>204.2</v>
      </c>
      <c r="D115" s="4">
        <v>191.2</v>
      </c>
      <c r="E115" s="3">
        <v>197</v>
      </c>
      <c r="F115" s="63">
        <f t="shared" si="60"/>
        <v>197.46666666666667</v>
      </c>
      <c r="G115" s="108">
        <f t="shared" si="61"/>
        <v>18166.933333333334</v>
      </c>
      <c r="H115" s="3">
        <v>194.9</v>
      </c>
      <c r="I115" s="3">
        <v>194.2</v>
      </c>
      <c r="J115" s="3">
        <v>195.5</v>
      </c>
      <c r="K115" s="63">
        <f t="shared" si="62"/>
        <v>194.86666666666667</v>
      </c>
      <c r="L115" s="108">
        <f t="shared" si="63"/>
        <v>17927.733333333334</v>
      </c>
      <c r="M115" s="3">
        <v>204.8</v>
      </c>
      <c r="N115" s="87">
        <v>191.9</v>
      </c>
      <c r="O115" s="87">
        <v>199.9</v>
      </c>
      <c r="P115" s="63">
        <f t="shared" si="64"/>
        <v>198.86666666666667</v>
      </c>
      <c r="Q115" s="108">
        <f t="shared" si="65"/>
        <v>17898</v>
      </c>
      <c r="R115" s="3">
        <v>191.4</v>
      </c>
      <c r="S115" s="87">
        <v>182.6</v>
      </c>
      <c r="T115" s="90">
        <v>170.3</v>
      </c>
      <c r="U115" s="63">
        <f t="shared" si="66"/>
        <v>181.43333333333331</v>
      </c>
      <c r="V115" s="111">
        <f t="shared" si="67"/>
        <v>16510.433333333331</v>
      </c>
      <c r="W115" s="64">
        <f t="shared" si="58"/>
        <v>193.15833333333339</v>
      </c>
      <c r="X115" s="65">
        <f t="shared" si="59"/>
        <v>70502.791666666686</v>
      </c>
    </row>
    <row r="116" spans="1:24" ht="15" customHeight="1" thickBot="1" x14ac:dyDescent="0.3">
      <c r="A116" s="50" t="s">
        <v>131</v>
      </c>
      <c r="B116" s="34"/>
      <c r="C116" s="4">
        <v>0</v>
      </c>
      <c r="D116" s="4">
        <v>0</v>
      </c>
      <c r="E116" s="4">
        <v>0</v>
      </c>
      <c r="F116" s="67">
        <f t="shared" si="60"/>
        <v>0</v>
      </c>
      <c r="G116" s="108">
        <f t="shared" si="61"/>
        <v>0</v>
      </c>
      <c r="H116" s="4">
        <v>0</v>
      </c>
      <c r="I116" s="4">
        <v>0</v>
      </c>
      <c r="J116" s="4">
        <v>0</v>
      </c>
      <c r="K116" s="67">
        <f t="shared" si="62"/>
        <v>0</v>
      </c>
      <c r="L116" s="108">
        <f t="shared" si="63"/>
        <v>0</v>
      </c>
      <c r="M116" s="4">
        <v>0</v>
      </c>
      <c r="N116" s="4">
        <v>0</v>
      </c>
      <c r="O116" s="4">
        <v>0</v>
      </c>
      <c r="P116" s="67">
        <f t="shared" si="64"/>
        <v>0</v>
      </c>
      <c r="Q116" s="108">
        <f t="shared" si="65"/>
        <v>0</v>
      </c>
      <c r="R116" s="3" t="s">
        <v>103</v>
      </c>
      <c r="S116" s="3" t="s">
        <v>103</v>
      </c>
      <c r="T116" s="4" t="s">
        <v>103</v>
      </c>
      <c r="U116" s="67">
        <f t="shared" si="66"/>
        <v>0</v>
      </c>
      <c r="V116" s="112">
        <f t="shared" si="67"/>
        <v>0</v>
      </c>
      <c r="W116" s="64">
        <v>0</v>
      </c>
      <c r="X116" s="65">
        <f t="shared" si="59"/>
        <v>0</v>
      </c>
    </row>
    <row r="117" spans="1:24" ht="15" customHeight="1" thickBot="1" x14ac:dyDescent="0.3">
      <c r="A117" s="626" t="s">
        <v>139</v>
      </c>
      <c r="B117" s="627"/>
      <c r="C117" s="628">
        <f>SUM(C103:C116)</f>
        <v>5070.2999999999993</v>
      </c>
      <c r="D117" s="628">
        <f>SUM(D103:D116)</f>
        <v>5090.6000000000004</v>
      </c>
      <c r="E117" s="628">
        <f>SUM(E103:E116)</f>
        <v>5159.3999999999996</v>
      </c>
      <c r="F117" s="629">
        <f>SUM(C117:E117)/3</f>
        <v>5106.7666666666664</v>
      </c>
      <c r="G117" s="630">
        <f>F117*92</f>
        <v>469822.53333333333</v>
      </c>
      <c r="H117" s="631">
        <f>SUM(H103:H116)</f>
        <v>5122.7</v>
      </c>
      <c r="I117" s="628">
        <f>SUM(I103:I116)</f>
        <v>5136.9000000000005</v>
      </c>
      <c r="J117" s="628">
        <f>SUM(J103:J116)</f>
        <v>5102.5999999999995</v>
      </c>
      <c r="K117" s="629">
        <f t="shared" si="62"/>
        <v>5120.7333333333336</v>
      </c>
      <c r="L117" s="632">
        <f t="shared" si="63"/>
        <v>471107.46666666667</v>
      </c>
      <c r="M117" s="633">
        <f>SUM(M103:M116)</f>
        <v>5221.6000000000004</v>
      </c>
      <c r="N117" s="628">
        <f>SUM(N103:N116)</f>
        <v>5203.5999999999995</v>
      </c>
      <c r="O117" s="628">
        <f>SUM(O103:O116)</f>
        <v>5124</v>
      </c>
      <c r="P117" s="629">
        <f t="shared" si="64"/>
        <v>5183.0666666666666</v>
      </c>
      <c r="Q117" s="632">
        <f t="shared" si="65"/>
        <v>466476</v>
      </c>
      <c r="R117" s="631">
        <f>SUM(R103:R116)</f>
        <v>5087.6999999999989</v>
      </c>
      <c r="S117" s="628">
        <f>SUM(S103:S116)</f>
        <v>5110.3000000000011</v>
      </c>
      <c r="T117" s="634">
        <f>SUM(T103:T116)</f>
        <v>5031.5</v>
      </c>
      <c r="U117" s="629">
        <f t="shared" si="66"/>
        <v>5076.5</v>
      </c>
      <c r="V117" s="635">
        <f t="shared" si="67"/>
        <v>461961.5</v>
      </c>
      <c r="W117" s="636">
        <f>SUM(C117+D117+E117+H117+I117+J117+M117+N117+O117+R117+S117+T117)/12</f>
        <v>5121.7666666666664</v>
      </c>
      <c r="X117" s="647">
        <f>SUM(X103:X116)</f>
        <v>1869444.8333333337</v>
      </c>
    </row>
    <row r="118" spans="1:24" ht="15" customHeight="1" thickBot="1" x14ac:dyDescent="0.3">
      <c r="A118" s="46" t="s">
        <v>140</v>
      </c>
      <c r="B118" s="35"/>
      <c r="C118" s="70"/>
      <c r="D118" s="70"/>
      <c r="E118" s="71"/>
      <c r="F118" s="98"/>
      <c r="G118" s="98"/>
      <c r="H118" s="72"/>
      <c r="I118" s="70"/>
      <c r="J118" s="71"/>
      <c r="K118" s="97"/>
      <c r="L118" s="97"/>
      <c r="M118" s="72"/>
      <c r="N118" s="70"/>
      <c r="O118" s="71"/>
      <c r="P118" s="97"/>
      <c r="Q118" s="97"/>
      <c r="R118" s="72"/>
      <c r="S118" s="70"/>
      <c r="T118" s="71"/>
      <c r="U118" s="71"/>
      <c r="V118" s="70"/>
      <c r="W118" s="96"/>
      <c r="X118" s="69" t="s">
        <v>0</v>
      </c>
    </row>
    <row r="119" spans="1:24" ht="15" customHeight="1" thickBot="1" x14ac:dyDescent="0.3">
      <c r="A119" s="637" t="s">
        <v>132</v>
      </c>
      <c r="B119" s="638" t="s">
        <v>469</v>
      </c>
      <c r="C119" s="639">
        <v>739.16</v>
      </c>
      <c r="D119" s="639">
        <v>734</v>
      </c>
      <c r="E119" s="639">
        <v>727.13</v>
      </c>
      <c r="F119" s="640">
        <f t="shared" ref="F119:F125" si="68">SUM(C119:E119)/3</f>
        <v>733.43</v>
      </c>
      <c r="G119" s="641">
        <f t="shared" ref="G119:G125" si="69">F119*92</f>
        <v>67475.56</v>
      </c>
      <c r="H119" s="639">
        <f>655.87+53</f>
        <v>708.87</v>
      </c>
      <c r="I119" s="639">
        <v>686.93</v>
      </c>
      <c r="J119" s="639">
        <v>643</v>
      </c>
      <c r="K119" s="640">
        <f t="shared" ref="K119:K126" si="70">SUM(H119:J119)/3</f>
        <v>679.6</v>
      </c>
      <c r="L119" s="641">
        <f t="shared" ref="L119:L125" si="71">K119*92</f>
        <v>62523.200000000004</v>
      </c>
      <c r="M119" s="639">
        <v>633.03</v>
      </c>
      <c r="N119" s="642">
        <v>647</v>
      </c>
      <c r="O119" s="642">
        <v>708.84</v>
      </c>
      <c r="P119" s="640">
        <f t="shared" ref="P119:P126" si="72">SUM(M119:O119)/3</f>
        <v>662.95666666666659</v>
      </c>
      <c r="Q119" s="641">
        <f t="shared" ref="Q119:Q125" si="73">P119*90</f>
        <v>59666.099999999991</v>
      </c>
      <c r="R119" s="639">
        <v>694.6</v>
      </c>
      <c r="S119" s="642">
        <v>682.87</v>
      </c>
      <c r="T119" s="643">
        <v>683.07</v>
      </c>
      <c r="U119" s="640">
        <f t="shared" ref="U119:U126" si="74">SUM(R119:T119)/3</f>
        <v>686.84666666666669</v>
      </c>
      <c r="V119" s="644">
        <f t="shared" ref="V119:V125" si="75">U119*91</f>
        <v>62503.046666666669</v>
      </c>
      <c r="W119" s="645">
        <f t="shared" ref="W119:W122" si="76">SUM(C119+D119+E119+H119+I119+J119+M119+N119+O119+R119+S119+T119)/12</f>
        <v>690.70833333333337</v>
      </c>
      <c r="X119" s="646">
        <f t="shared" ref="X119:X124" si="77">W119*365</f>
        <v>252108.54166666669</v>
      </c>
    </row>
    <row r="120" spans="1:24" ht="15" customHeight="1" thickBot="1" x14ac:dyDescent="0.3">
      <c r="A120" s="50" t="s">
        <v>133</v>
      </c>
      <c r="B120" s="496">
        <v>35</v>
      </c>
      <c r="C120" s="5">
        <v>11</v>
      </c>
      <c r="D120" s="5">
        <v>10.71</v>
      </c>
      <c r="E120" s="5">
        <v>9.9700000000000006</v>
      </c>
      <c r="F120" s="63">
        <f t="shared" si="68"/>
        <v>10.56</v>
      </c>
      <c r="G120" s="108">
        <f t="shared" si="69"/>
        <v>971.5200000000001</v>
      </c>
      <c r="H120" s="5">
        <v>10</v>
      </c>
      <c r="I120" s="5">
        <v>10</v>
      </c>
      <c r="J120" s="5">
        <v>9.52</v>
      </c>
      <c r="K120" s="63">
        <f t="shared" si="70"/>
        <v>9.84</v>
      </c>
      <c r="L120" s="108">
        <f t="shared" si="71"/>
        <v>905.28</v>
      </c>
      <c r="M120" s="5">
        <v>8.35</v>
      </c>
      <c r="N120" s="75">
        <v>6</v>
      </c>
      <c r="O120" s="75">
        <v>5.71</v>
      </c>
      <c r="P120" s="63">
        <f t="shared" si="72"/>
        <v>6.6866666666666665</v>
      </c>
      <c r="Q120" s="108">
        <f t="shared" si="73"/>
        <v>601.79999999999995</v>
      </c>
      <c r="R120" s="5">
        <v>5.53</v>
      </c>
      <c r="S120" s="75">
        <v>5.84</v>
      </c>
      <c r="T120" s="76">
        <v>5.2</v>
      </c>
      <c r="U120" s="63">
        <f t="shared" si="74"/>
        <v>5.5233333333333334</v>
      </c>
      <c r="V120" s="111">
        <f t="shared" si="75"/>
        <v>502.62333333333333</v>
      </c>
      <c r="W120" s="64">
        <f t="shared" si="76"/>
        <v>8.1524999999999999</v>
      </c>
      <c r="X120" s="65">
        <f t="shared" si="77"/>
        <v>2975.6624999999999</v>
      </c>
    </row>
    <row r="121" spans="1:24" ht="15" customHeight="1" thickBot="1" x14ac:dyDescent="0.3">
      <c r="A121" s="50" t="s">
        <v>135</v>
      </c>
      <c r="B121" s="496">
        <v>26</v>
      </c>
      <c r="C121" s="5">
        <v>13</v>
      </c>
      <c r="D121" s="5">
        <v>14</v>
      </c>
      <c r="E121" s="5">
        <v>16</v>
      </c>
      <c r="F121" s="63">
        <f t="shared" si="68"/>
        <v>14.333333333333334</v>
      </c>
      <c r="G121" s="108">
        <f t="shared" si="69"/>
        <v>1318.6666666666667</v>
      </c>
      <c r="H121" s="5">
        <v>18</v>
      </c>
      <c r="I121" s="5">
        <v>19</v>
      </c>
      <c r="J121" s="5">
        <v>19</v>
      </c>
      <c r="K121" s="63">
        <f t="shared" si="70"/>
        <v>18.666666666666668</v>
      </c>
      <c r="L121" s="108">
        <f t="shared" si="71"/>
        <v>1717.3333333333335</v>
      </c>
      <c r="M121" s="5">
        <v>15</v>
      </c>
      <c r="N121" s="75">
        <v>13</v>
      </c>
      <c r="O121" s="75">
        <v>11</v>
      </c>
      <c r="P121" s="63">
        <f t="shared" si="72"/>
        <v>13</v>
      </c>
      <c r="Q121" s="108">
        <f t="shared" si="73"/>
        <v>1170</v>
      </c>
      <c r="R121" s="5">
        <v>11</v>
      </c>
      <c r="S121" s="75">
        <v>11</v>
      </c>
      <c r="T121" s="76">
        <v>12</v>
      </c>
      <c r="U121" s="63">
        <f t="shared" si="74"/>
        <v>11.333333333333334</v>
      </c>
      <c r="V121" s="111">
        <f t="shared" si="75"/>
        <v>1031.3333333333335</v>
      </c>
      <c r="W121" s="64">
        <f t="shared" si="76"/>
        <v>14.333333333333334</v>
      </c>
      <c r="X121" s="65">
        <f t="shared" si="77"/>
        <v>5231.666666666667</v>
      </c>
    </row>
    <row r="122" spans="1:24" ht="15" customHeight="1" thickBot="1" x14ac:dyDescent="0.3">
      <c r="A122" s="50" t="s">
        <v>134</v>
      </c>
      <c r="B122" s="496" t="s">
        <v>434</v>
      </c>
      <c r="C122" s="5">
        <v>426</v>
      </c>
      <c r="D122" s="5">
        <v>416</v>
      </c>
      <c r="E122" s="5">
        <v>425</v>
      </c>
      <c r="F122" s="63">
        <f t="shared" si="68"/>
        <v>422.33333333333331</v>
      </c>
      <c r="G122" s="108">
        <f t="shared" si="69"/>
        <v>38854.666666666664</v>
      </c>
      <c r="H122" s="5">
        <v>428</v>
      </c>
      <c r="I122" s="5">
        <v>427</v>
      </c>
      <c r="J122" s="5">
        <v>441</v>
      </c>
      <c r="K122" s="63">
        <f t="shared" si="70"/>
        <v>432</v>
      </c>
      <c r="L122" s="108">
        <f t="shared" si="71"/>
        <v>39744</v>
      </c>
      <c r="M122" s="5">
        <v>452</v>
      </c>
      <c r="N122" s="75">
        <v>467</v>
      </c>
      <c r="O122" s="75">
        <v>449</v>
      </c>
      <c r="P122" s="63">
        <f t="shared" si="72"/>
        <v>456</v>
      </c>
      <c r="Q122" s="108">
        <f t="shared" si="73"/>
        <v>41040</v>
      </c>
      <c r="R122" s="5">
        <v>449</v>
      </c>
      <c r="S122" s="75">
        <v>448</v>
      </c>
      <c r="T122" s="76">
        <v>455</v>
      </c>
      <c r="U122" s="63">
        <f t="shared" si="74"/>
        <v>450.66666666666669</v>
      </c>
      <c r="V122" s="111">
        <f t="shared" si="75"/>
        <v>41010.666666666672</v>
      </c>
      <c r="W122" s="64">
        <f t="shared" si="76"/>
        <v>440.25</v>
      </c>
      <c r="X122" s="65">
        <f t="shared" si="77"/>
        <v>160691.25</v>
      </c>
    </row>
    <row r="123" spans="1:24" ht="15" customHeight="1" thickBot="1" x14ac:dyDescent="0.3">
      <c r="A123" s="50" t="s">
        <v>339</v>
      </c>
      <c r="B123" s="496">
        <v>1050</v>
      </c>
      <c r="C123" s="5" t="s">
        <v>534</v>
      </c>
      <c r="D123" s="5" t="s">
        <v>534</v>
      </c>
      <c r="E123" s="5" t="s">
        <v>534</v>
      </c>
      <c r="F123" s="63">
        <f t="shared" si="68"/>
        <v>0</v>
      </c>
      <c r="G123" s="108">
        <f t="shared" si="69"/>
        <v>0</v>
      </c>
      <c r="H123" s="5" t="s">
        <v>534</v>
      </c>
      <c r="I123" s="5" t="s">
        <v>534</v>
      </c>
      <c r="J123" s="5" t="s">
        <v>534</v>
      </c>
      <c r="K123" s="63">
        <f t="shared" si="70"/>
        <v>0</v>
      </c>
      <c r="L123" s="108">
        <f t="shared" si="71"/>
        <v>0</v>
      </c>
      <c r="M123" s="5" t="s">
        <v>534</v>
      </c>
      <c r="N123" s="75" t="s">
        <v>534</v>
      </c>
      <c r="O123" s="75" t="s">
        <v>534</v>
      </c>
      <c r="P123" s="63">
        <f t="shared" si="72"/>
        <v>0</v>
      </c>
      <c r="Q123" s="108">
        <f t="shared" si="73"/>
        <v>0</v>
      </c>
      <c r="R123" s="5" t="s">
        <v>534</v>
      </c>
      <c r="S123" s="75" t="s">
        <v>534</v>
      </c>
      <c r="T123" s="76" t="s">
        <v>534</v>
      </c>
      <c r="U123" s="63">
        <f t="shared" si="74"/>
        <v>0</v>
      </c>
      <c r="V123" s="111">
        <f t="shared" si="75"/>
        <v>0</v>
      </c>
      <c r="W123" s="64">
        <v>0</v>
      </c>
      <c r="X123" s="65">
        <f t="shared" si="77"/>
        <v>0</v>
      </c>
    </row>
    <row r="124" spans="1:24" ht="15" customHeight="1" thickBot="1" x14ac:dyDescent="0.3">
      <c r="A124" s="50" t="s">
        <v>137</v>
      </c>
      <c r="B124" s="496" t="s">
        <v>434</v>
      </c>
      <c r="C124" s="5">
        <v>14</v>
      </c>
      <c r="D124" s="5">
        <v>13</v>
      </c>
      <c r="E124" s="5">
        <v>13</v>
      </c>
      <c r="F124" s="63">
        <f t="shared" si="68"/>
        <v>13.333333333333334</v>
      </c>
      <c r="G124" s="108">
        <f t="shared" si="69"/>
        <v>1226.6666666666667</v>
      </c>
      <c r="H124" s="5">
        <v>13</v>
      </c>
      <c r="I124" s="5">
        <v>13</v>
      </c>
      <c r="J124" s="5">
        <v>12</v>
      </c>
      <c r="K124" s="63">
        <f t="shared" si="70"/>
        <v>12.666666666666666</v>
      </c>
      <c r="L124" s="108">
        <f t="shared" si="71"/>
        <v>1165.3333333333333</v>
      </c>
      <c r="M124" s="5">
        <v>12</v>
      </c>
      <c r="N124" s="75">
        <v>12</v>
      </c>
      <c r="O124" s="75">
        <v>12</v>
      </c>
      <c r="P124" s="63">
        <f t="shared" si="72"/>
        <v>12</v>
      </c>
      <c r="Q124" s="108">
        <f t="shared" si="73"/>
        <v>1080</v>
      </c>
      <c r="R124" s="5">
        <v>12</v>
      </c>
      <c r="S124" s="75">
        <v>12</v>
      </c>
      <c r="T124" s="76">
        <v>12</v>
      </c>
      <c r="U124" s="63">
        <f t="shared" si="74"/>
        <v>12</v>
      </c>
      <c r="V124" s="112">
        <f t="shared" si="75"/>
        <v>1092</v>
      </c>
      <c r="W124" s="64">
        <f>SUM(C124+D124+E124+H124+I124+J124+M124+N124+O124+R124+S124+T124)/12</f>
        <v>12.5</v>
      </c>
      <c r="X124" s="65">
        <f t="shared" si="77"/>
        <v>4562.5</v>
      </c>
    </row>
    <row r="125" spans="1:24" ht="15" customHeight="1" thickBot="1" x14ac:dyDescent="0.3">
      <c r="A125" s="53" t="s">
        <v>141</v>
      </c>
      <c r="B125" s="37"/>
      <c r="C125" s="80">
        <f>SUM(C119:C124)</f>
        <v>1203.1599999999999</v>
      </c>
      <c r="D125" s="80">
        <f>SUM(D119:D124)</f>
        <v>1187.71</v>
      </c>
      <c r="E125" s="80">
        <f>SUM(E119:E124)</f>
        <v>1191.0999999999999</v>
      </c>
      <c r="F125" s="68">
        <f t="shared" si="68"/>
        <v>1193.99</v>
      </c>
      <c r="G125" s="108">
        <f t="shared" si="69"/>
        <v>109847.08</v>
      </c>
      <c r="H125" s="94">
        <f>SUM(H119:H124)</f>
        <v>1177.8699999999999</v>
      </c>
      <c r="I125" s="80">
        <f>SUM(I119:I124)</f>
        <v>1155.9299999999998</v>
      </c>
      <c r="J125" s="80">
        <f>SUM(J119:J124)</f>
        <v>1124.52</v>
      </c>
      <c r="K125" s="68">
        <f t="shared" si="70"/>
        <v>1152.7733333333333</v>
      </c>
      <c r="L125" s="119">
        <f t="shared" si="71"/>
        <v>106055.14666666667</v>
      </c>
      <c r="M125" s="94">
        <f>SUM(M119:M124)</f>
        <v>1120.3800000000001</v>
      </c>
      <c r="N125" s="80">
        <f>SUM(N119:N124)</f>
        <v>1145</v>
      </c>
      <c r="O125" s="80">
        <f>SUM(O119:O124)</f>
        <v>1186.5500000000002</v>
      </c>
      <c r="P125" s="68">
        <f t="shared" si="72"/>
        <v>1150.6433333333334</v>
      </c>
      <c r="Q125" s="108">
        <f t="shared" si="73"/>
        <v>103557.90000000001</v>
      </c>
      <c r="R125" s="94">
        <f>SUM(R119:R124)</f>
        <v>1172.1300000000001</v>
      </c>
      <c r="S125" s="80">
        <f>SUM(S119:S124)</f>
        <v>1159.71</v>
      </c>
      <c r="T125" s="81">
        <f>SUM(T119:T124)</f>
        <v>1167.27</v>
      </c>
      <c r="U125" s="68">
        <f t="shared" si="74"/>
        <v>1166.3700000000001</v>
      </c>
      <c r="V125" s="120">
        <f t="shared" si="75"/>
        <v>106139.67000000001</v>
      </c>
      <c r="W125" s="69">
        <f>SUM(W119:W124)</f>
        <v>1165.9441666666667</v>
      </c>
      <c r="X125" s="69">
        <f>SUM(X119:X124)</f>
        <v>425569.62083333335</v>
      </c>
    </row>
    <row r="126" spans="1:24" ht="15" customHeight="1" thickBot="1" x14ac:dyDescent="0.3">
      <c r="A126" s="54" t="s">
        <v>145</v>
      </c>
      <c r="B126" s="38"/>
      <c r="C126" s="80">
        <f>C117+C125</f>
        <v>6273.4599999999991</v>
      </c>
      <c r="D126" s="80">
        <f>D117+D125</f>
        <v>6278.31</v>
      </c>
      <c r="E126" s="80">
        <f>E117+E125</f>
        <v>6350.5</v>
      </c>
      <c r="F126" s="80">
        <f>F117+F125</f>
        <v>6300.7566666666662</v>
      </c>
      <c r="G126" s="68">
        <f>SUM(G117+G125)</f>
        <v>579669.61333333328</v>
      </c>
      <c r="H126" s="80">
        <f>H117+H125</f>
        <v>6300.57</v>
      </c>
      <c r="I126" s="80">
        <f>I117+I125</f>
        <v>6292.83</v>
      </c>
      <c r="J126" s="80">
        <f>J117+J125</f>
        <v>6227.119999999999</v>
      </c>
      <c r="K126" s="120">
        <f t="shared" si="70"/>
        <v>6273.5066666666653</v>
      </c>
      <c r="L126" s="68">
        <f>SUM(L117+L125)</f>
        <v>577162.61333333328</v>
      </c>
      <c r="M126" s="94">
        <f>M117+M125</f>
        <v>6341.9800000000005</v>
      </c>
      <c r="N126" s="80">
        <f>N117+N125</f>
        <v>6348.5999999999995</v>
      </c>
      <c r="O126" s="80">
        <f>O117+O125</f>
        <v>6310.55</v>
      </c>
      <c r="P126" s="99">
        <f t="shared" si="72"/>
        <v>6333.71</v>
      </c>
      <c r="Q126" s="68">
        <f>SUM(Q117+Q125)</f>
        <v>570033.9</v>
      </c>
      <c r="R126" s="94">
        <f>R117+R125</f>
        <v>6259.829999999999</v>
      </c>
      <c r="S126" s="80">
        <f>S117+S125</f>
        <v>6270.0100000000011</v>
      </c>
      <c r="T126" s="81">
        <f>T117+T125</f>
        <v>6198.77</v>
      </c>
      <c r="U126" s="99">
        <f t="shared" si="74"/>
        <v>6242.87</v>
      </c>
      <c r="V126" s="68">
        <f>SUM(V117+V125)</f>
        <v>568101.17000000004</v>
      </c>
      <c r="W126" s="80">
        <f>W117+W125</f>
        <v>6287.7108333333326</v>
      </c>
      <c r="X126" s="82">
        <f>X117+X125</f>
        <v>2295014.4541666671</v>
      </c>
    </row>
    <row r="127" spans="1:24" ht="15" customHeight="1" x14ac:dyDescent="0.25">
      <c r="A127" s="114" t="s">
        <v>535</v>
      </c>
      <c r="B127" s="19"/>
      <c r="C127" s="115"/>
      <c r="D127" s="115"/>
      <c r="E127" s="115"/>
      <c r="F127" s="115"/>
      <c r="G127" s="113"/>
      <c r="H127" s="115"/>
      <c r="I127" s="115"/>
      <c r="J127" s="115"/>
      <c r="K127" s="139"/>
      <c r="L127" s="113"/>
      <c r="M127" s="115"/>
      <c r="N127" s="115"/>
      <c r="O127" s="115"/>
      <c r="P127" s="93"/>
      <c r="Q127" s="113"/>
      <c r="R127" s="115"/>
      <c r="S127" s="115"/>
      <c r="T127" s="115"/>
      <c r="U127" s="93"/>
      <c r="V127" s="113"/>
      <c r="W127" s="115"/>
      <c r="X127" s="115"/>
    </row>
    <row r="128" spans="1:24" ht="15" customHeight="1" x14ac:dyDescent="0.25">
      <c r="A128" s="114" t="s">
        <v>536</v>
      </c>
      <c r="B128" s="19"/>
      <c r="C128" s="115"/>
      <c r="D128" s="115"/>
      <c r="E128" s="115"/>
      <c r="F128" s="115"/>
      <c r="G128" s="113"/>
      <c r="H128" s="115"/>
      <c r="I128" s="115"/>
      <c r="J128" s="115"/>
      <c r="K128" s="139"/>
      <c r="L128" s="113"/>
      <c r="M128" s="115"/>
      <c r="N128" s="115"/>
      <c r="O128" s="115"/>
      <c r="P128" s="93"/>
      <c r="Q128" s="113"/>
      <c r="R128" s="115"/>
      <c r="S128" s="115"/>
      <c r="T128" s="115"/>
      <c r="U128" s="93"/>
      <c r="V128" s="113"/>
      <c r="W128" s="115"/>
      <c r="X128" s="115"/>
    </row>
    <row r="129" spans="1:24" ht="15" customHeight="1" x14ac:dyDescent="0.25">
      <c r="A129" s="114" t="s">
        <v>470</v>
      </c>
      <c r="B129" s="19"/>
      <c r="C129" s="115"/>
      <c r="D129" s="115"/>
      <c r="E129" s="115"/>
      <c r="F129" s="115"/>
      <c r="G129" s="113"/>
      <c r="H129" s="115"/>
      <c r="I129" s="115"/>
      <c r="J129" s="115"/>
      <c r="K129" s="139"/>
      <c r="L129" s="113"/>
      <c r="M129" s="115"/>
      <c r="N129" s="115"/>
      <c r="O129" s="115"/>
      <c r="P129" s="93"/>
      <c r="Q129" s="113"/>
      <c r="R129" s="115"/>
      <c r="S129" s="115"/>
      <c r="T129" s="115"/>
      <c r="U129" s="93"/>
      <c r="V129" s="113"/>
      <c r="W129" s="115"/>
      <c r="X129" s="115"/>
    </row>
    <row r="130" spans="1:24" ht="15" customHeight="1" x14ac:dyDescent="0.25">
      <c r="A130" s="114" t="s">
        <v>514</v>
      </c>
      <c r="B130" s="19"/>
      <c r="C130" s="115"/>
      <c r="D130" s="115"/>
      <c r="E130" s="115"/>
      <c r="F130" s="115"/>
      <c r="G130" s="113"/>
      <c r="H130" s="115"/>
      <c r="I130" s="115"/>
      <c r="J130" s="115"/>
      <c r="K130" s="139"/>
      <c r="L130" s="113"/>
      <c r="M130" s="115"/>
      <c r="N130" s="115"/>
      <c r="O130" s="115"/>
      <c r="P130" s="93"/>
      <c r="Q130" s="113"/>
      <c r="R130" s="115"/>
      <c r="S130" s="115"/>
      <c r="T130" s="115"/>
      <c r="U130" s="93"/>
      <c r="V130" s="113"/>
      <c r="W130" s="115"/>
      <c r="X130" s="115"/>
    </row>
    <row r="131" spans="1:24" ht="15" customHeight="1" x14ac:dyDescent="0.2">
      <c r="A131" s="45"/>
      <c r="B131" s="10"/>
      <c r="C131" s="13"/>
      <c r="D131" s="13"/>
      <c r="E131" s="13"/>
      <c r="F131" s="13"/>
      <c r="G131" s="13"/>
      <c r="H131" s="13"/>
      <c r="I131" s="13"/>
      <c r="J131" s="13"/>
      <c r="K131" s="13"/>
      <c r="L131" s="13"/>
      <c r="M131" s="13"/>
      <c r="N131" s="13"/>
      <c r="O131" s="13"/>
      <c r="P131" s="13"/>
      <c r="Q131" s="13"/>
      <c r="R131" s="13"/>
      <c r="S131" s="13"/>
      <c r="T131" s="13"/>
      <c r="U131" s="13"/>
      <c r="V131" s="13"/>
      <c r="W131" s="13"/>
      <c r="X131" s="13"/>
    </row>
    <row r="132" spans="1:24" ht="15" customHeight="1" x14ac:dyDescent="0.2">
      <c r="A132" s="45"/>
      <c r="B132" s="10"/>
      <c r="C132" s="13"/>
      <c r="D132" s="13"/>
      <c r="E132" s="13"/>
      <c r="F132" s="13"/>
      <c r="G132" s="13"/>
      <c r="H132" s="13"/>
      <c r="I132" s="13"/>
      <c r="J132" s="13"/>
      <c r="K132" s="13"/>
      <c r="L132" s="13"/>
      <c r="M132" s="13"/>
      <c r="N132" s="13"/>
      <c r="O132" s="13"/>
      <c r="P132" s="13"/>
      <c r="Q132" s="13"/>
      <c r="R132" s="13"/>
      <c r="S132" s="13"/>
      <c r="T132" s="13"/>
      <c r="U132" s="13"/>
      <c r="V132" s="13"/>
      <c r="W132" s="13"/>
      <c r="X132" s="13"/>
    </row>
    <row r="133" spans="1:24" ht="15" customHeight="1" thickBot="1" x14ac:dyDescent="0.25">
      <c r="A133" s="45" t="s">
        <v>144</v>
      </c>
      <c r="B133" s="10"/>
      <c r="C133" s="13"/>
      <c r="D133" s="13"/>
      <c r="E133" s="13"/>
      <c r="F133" s="13"/>
      <c r="G133" s="13"/>
      <c r="H133" s="13"/>
      <c r="I133" s="13"/>
      <c r="J133" s="13"/>
      <c r="K133" s="13"/>
      <c r="L133" s="13"/>
      <c r="M133" s="13"/>
      <c r="N133" s="13"/>
      <c r="O133" s="13"/>
      <c r="P133" s="13"/>
      <c r="Q133" s="13"/>
      <c r="R133" s="13"/>
      <c r="S133" s="13"/>
      <c r="T133" s="13"/>
      <c r="U133" s="13"/>
      <c r="V133" s="13"/>
      <c r="W133" s="13"/>
      <c r="X133" s="13"/>
    </row>
    <row r="134" spans="1:24" ht="15" customHeight="1" thickBot="1" x14ac:dyDescent="0.25">
      <c r="A134" s="597" t="s">
        <v>515</v>
      </c>
      <c r="B134" s="1058" t="s">
        <v>142</v>
      </c>
      <c r="C134" s="1059"/>
      <c r="D134" s="1059"/>
      <c r="E134" s="1059"/>
      <c r="F134" s="1059"/>
      <c r="G134" s="1059"/>
      <c r="H134" s="1059"/>
      <c r="I134" s="1059"/>
      <c r="J134" s="1059"/>
      <c r="K134" s="1059"/>
      <c r="L134" s="1059"/>
      <c r="M134" s="1059"/>
      <c r="N134" s="1059"/>
      <c r="O134" s="1059"/>
      <c r="P134" s="1059"/>
      <c r="Q134" s="1059"/>
      <c r="R134" s="1059"/>
      <c r="S134" s="1059"/>
      <c r="T134" s="1059"/>
      <c r="U134" s="39"/>
      <c r="V134" s="39"/>
      <c r="W134" s="92"/>
      <c r="X134" s="13"/>
    </row>
    <row r="135" spans="1:24" ht="15" customHeight="1" x14ac:dyDescent="0.25">
      <c r="A135" s="56"/>
      <c r="B135" s="40" t="s">
        <v>245</v>
      </c>
      <c r="C135" s="57"/>
      <c r="D135" s="58"/>
      <c r="E135" s="58"/>
      <c r="F135" s="1047" t="s">
        <v>242</v>
      </c>
      <c r="G135" s="1039" t="s">
        <v>262</v>
      </c>
      <c r="H135" s="58"/>
      <c r="I135" s="58"/>
      <c r="J135" s="58"/>
      <c r="K135" s="1047" t="s">
        <v>242</v>
      </c>
      <c r="L135" s="1039" t="s">
        <v>262</v>
      </c>
      <c r="M135" s="58"/>
      <c r="N135" s="58"/>
      <c r="O135" s="58"/>
      <c r="P135" s="1047" t="s">
        <v>242</v>
      </c>
      <c r="Q135" s="1039" t="s">
        <v>262</v>
      </c>
      <c r="R135" s="58"/>
      <c r="S135" s="58"/>
      <c r="T135" s="59"/>
      <c r="U135" s="1047" t="s">
        <v>242</v>
      </c>
      <c r="V135" s="1039" t="s">
        <v>262</v>
      </c>
      <c r="W135" s="1041" t="s">
        <v>143</v>
      </c>
      <c r="X135" s="1043" t="s">
        <v>144</v>
      </c>
    </row>
    <row r="136" spans="1:24" ht="23.25" customHeight="1" thickBot="1" x14ac:dyDescent="0.3">
      <c r="A136" s="47" t="s">
        <v>55</v>
      </c>
      <c r="B136" s="41" t="s">
        <v>429</v>
      </c>
      <c r="C136" s="60">
        <v>41456</v>
      </c>
      <c r="D136" s="61">
        <v>41487</v>
      </c>
      <c r="E136" s="61">
        <v>41518</v>
      </c>
      <c r="F136" s="1048"/>
      <c r="G136" s="1040"/>
      <c r="H136" s="61">
        <v>41548</v>
      </c>
      <c r="I136" s="61">
        <v>41579</v>
      </c>
      <c r="J136" s="61">
        <v>41609</v>
      </c>
      <c r="K136" s="1048"/>
      <c r="L136" s="1040"/>
      <c r="M136" s="61">
        <v>41640</v>
      </c>
      <c r="N136" s="61">
        <v>41671</v>
      </c>
      <c r="O136" s="61">
        <v>41699</v>
      </c>
      <c r="P136" s="1048"/>
      <c r="Q136" s="1040"/>
      <c r="R136" s="61">
        <v>41730</v>
      </c>
      <c r="S136" s="61">
        <v>41760</v>
      </c>
      <c r="T136" s="62">
        <v>41791</v>
      </c>
      <c r="U136" s="1048"/>
      <c r="V136" s="1040"/>
      <c r="W136" s="1042"/>
      <c r="X136" s="1044"/>
    </row>
    <row r="137" spans="1:24" ht="15" customHeight="1" thickBot="1" x14ac:dyDescent="0.3">
      <c r="A137" s="48" t="s">
        <v>294</v>
      </c>
      <c r="B137" s="42" t="s">
        <v>465</v>
      </c>
      <c r="C137" s="125">
        <v>941.97</v>
      </c>
      <c r="D137" s="125">
        <v>957.77</v>
      </c>
      <c r="E137" s="117">
        <v>933.83</v>
      </c>
      <c r="F137" s="63">
        <f>SUM(C137:E137)/3</f>
        <v>944.52333333333343</v>
      </c>
      <c r="G137" s="108">
        <f>F137*92</f>
        <v>86896.146666666682</v>
      </c>
      <c r="H137" s="117">
        <v>918.42</v>
      </c>
      <c r="I137" s="117">
        <v>899.6</v>
      </c>
      <c r="J137" s="117">
        <v>866.23</v>
      </c>
      <c r="K137" s="63">
        <f>SUM(H137:J137)/3</f>
        <v>894.75</v>
      </c>
      <c r="L137" s="108">
        <f>K137*92</f>
        <v>82317</v>
      </c>
      <c r="M137" s="117">
        <v>899.3</v>
      </c>
      <c r="N137" s="85">
        <v>927.3</v>
      </c>
      <c r="O137" s="85">
        <v>896.5</v>
      </c>
      <c r="P137" s="63">
        <f>SUM(M137:O137)/3</f>
        <v>907.69999999999993</v>
      </c>
      <c r="Q137" s="108">
        <f>P137*90</f>
        <v>81693</v>
      </c>
      <c r="R137" s="117">
        <v>793.4</v>
      </c>
      <c r="S137" s="85">
        <v>764.2</v>
      </c>
      <c r="T137" s="135">
        <v>819.9</v>
      </c>
      <c r="U137" s="63">
        <f>SUM(R137:T137)/3</f>
        <v>792.5</v>
      </c>
      <c r="V137" s="111">
        <f>U137*91</f>
        <v>72117.5</v>
      </c>
      <c r="W137" s="64">
        <f>SUM(C137+D137+E137+H137+I137+J137+M137+N137+O137+R137+S137+T137)/12</f>
        <v>884.86833333333334</v>
      </c>
      <c r="X137" s="65">
        <f>W137*365</f>
        <v>322976.94166666665</v>
      </c>
    </row>
    <row r="138" spans="1:24" ht="15" customHeight="1" thickBot="1" x14ac:dyDescent="0.3">
      <c r="A138" s="49" t="s">
        <v>127</v>
      </c>
      <c r="B138" s="43" t="s">
        <v>430</v>
      </c>
      <c r="C138" s="126">
        <v>123.42</v>
      </c>
      <c r="D138" s="126">
        <v>136.22999999999999</v>
      </c>
      <c r="E138" s="118">
        <v>140.37</v>
      </c>
      <c r="F138" s="63">
        <f>SUM(C138:E138)/3</f>
        <v>133.34</v>
      </c>
      <c r="G138" s="108">
        <f>F138*92</f>
        <v>12267.28</v>
      </c>
      <c r="H138" s="118">
        <v>136.38999999999999</v>
      </c>
      <c r="I138" s="118">
        <v>125.57</v>
      </c>
      <c r="J138" s="118">
        <v>113.52</v>
      </c>
      <c r="K138" s="63">
        <f>SUM(H138:J138)/3</f>
        <v>125.15999999999998</v>
      </c>
      <c r="L138" s="108">
        <f>K138*92</f>
        <v>11514.719999999998</v>
      </c>
      <c r="M138" s="118">
        <v>114.2</v>
      </c>
      <c r="N138" s="86">
        <v>120.6</v>
      </c>
      <c r="O138" s="86">
        <v>108.2</v>
      </c>
      <c r="P138" s="63">
        <f>SUM(M138:O138)/3</f>
        <v>114.33333333333333</v>
      </c>
      <c r="Q138" s="108">
        <f>P138*90</f>
        <v>10290</v>
      </c>
      <c r="R138" s="118">
        <v>121.4</v>
      </c>
      <c r="S138" s="86">
        <v>117.1</v>
      </c>
      <c r="T138" s="89">
        <v>115.3</v>
      </c>
      <c r="U138" s="63">
        <f>SUM(R138:T138)/3</f>
        <v>117.93333333333334</v>
      </c>
      <c r="V138" s="111">
        <f>U138*91</f>
        <v>10731.933333333334</v>
      </c>
      <c r="W138" s="64">
        <f>SUM(C138+D138+E138+H138+I138+J138+M138+N138+O138+R138+S138+T138)/12</f>
        <v>122.69166666666666</v>
      </c>
      <c r="X138" s="65">
        <f>W138*365</f>
        <v>44782.458333333328</v>
      </c>
    </row>
    <row r="139" spans="1:24" ht="15" customHeight="1" thickBot="1" x14ac:dyDescent="0.3">
      <c r="A139" s="50" t="s">
        <v>319</v>
      </c>
      <c r="B139" s="44" t="s">
        <v>318</v>
      </c>
      <c r="C139" s="4">
        <v>286.64999999999998</v>
      </c>
      <c r="D139" s="4">
        <v>295.10000000000002</v>
      </c>
      <c r="E139" s="3">
        <v>302.02999999999997</v>
      </c>
      <c r="F139" s="63">
        <f>SUM(C139:E139)/3</f>
        <v>294.59333333333331</v>
      </c>
      <c r="G139" s="108">
        <f>F139*92</f>
        <v>27102.586666666662</v>
      </c>
      <c r="H139" s="3">
        <v>277.16000000000003</v>
      </c>
      <c r="I139" s="3">
        <v>255.03</v>
      </c>
      <c r="J139" s="3">
        <v>254.71</v>
      </c>
      <c r="K139" s="63">
        <f>SUM(H139:J139)/3</f>
        <v>262.3</v>
      </c>
      <c r="L139" s="108">
        <f>K139*92</f>
        <v>24131.600000000002</v>
      </c>
      <c r="M139" s="3">
        <v>259</v>
      </c>
      <c r="N139" s="87">
        <v>265.89999999999998</v>
      </c>
      <c r="O139" s="87">
        <v>275</v>
      </c>
      <c r="P139" s="63">
        <f>SUM(M139:O139)/3</f>
        <v>266.63333333333333</v>
      </c>
      <c r="Q139" s="108">
        <f>P139*90</f>
        <v>23997</v>
      </c>
      <c r="R139" s="3">
        <v>277.8</v>
      </c>
      <c r="S139" s="87">
        <v>266.8</v>
      </c>
      <c r="T139" s="90">
        <v>273.10000000000002</v>
      </c>
      <c r="U139" s="63">
        <f>SUM(R139:T139)/3</f>
        <v>272.56666666666666</v>
      </c>
      <c r="V139" s="111">
        <f>U139*91</f>
        <v>24803.566666666666</v>
      </c>
      <c r="W139" s="64">
        <f>SUM(C139+D139+E139+H139+I139+J139+M139+N139+O139+R139+S139+T139)/12</f>
        <v>274.02333333333337</v>
      </c>
      <c r="X139" s="65">
        <f>W139*365</f>
        <v>100018.51666666668</v>
      </c>
    </row>
    <row r="140" spans="1:24" ht="15" customHeight="1" thickBot="1" x14ac:dyDescent="0.3">
      <c r="A140" s="50" t="s">
        <v>436</v>
      </c>
      <c r="B140" s="44" t="s">
        <v>466</v>
      </c>
      <c r="C140" s="4">
        <v>941.71</v>
      </c>
      <c r="D140" s="4">
        <v>964.48</v>
      </c>
      <c r="E140" s="3">
        <v>1066.43</v>
      </c>
      <c r="F140" s="63">
        <f>SUM(C140:E140)/3</f>
        <v>990.87333333333333</v>
      </c>
      <c r="G140" s="108">
        <f>F140*92</f>
        <v>91160.346666666665</v>
      </c>
      <c r="H140" s="3">
        <v>1272.03</v>
      </c>
      <c r="I140" s="3">
        <v>1329.67</v>
      </c>
      <c r="J140" s="3">
        <v>1339.94</v>
      </c>
      <c r="K140" s="63">
        <f>SUM(H140:J140)/3</f>
        <v>1313.8799999999999</v>
      </c>
      <c r="L140" s="108">
        <f>K140*92</f>
        <v>120876.95999999999</v>
      </c>
      <c r="M140" s="3">
        <v>1310.9</v>
      </c>
      <c r="N140" s="87">
        <v>1272.8</v>
      </c>
      <c r="O140" s="87">
        <v>1299</v>
      </c>
      <c r="P140" s="63">
        <f>SUM(M140:O140)/3</f>
        <v>1294.2333333333333</v>
      </c>
      <c r="Q140" s="108">
        <f>P140*90</f>
        <v>116481</v>
      </c>
      <c r="R140" s="3">
        <v>1376.6</v>
      </c>
      <c r="S140" s="87">
        <v>1384.1</v>
      </c>
      <c r="T140" s="90">
        <v>1359.6</v>
      </c>
      <c r="U140" s="63">
        <f>SUM(R140:T140)/3</f>
        <v>1373.4333333333332</v>
      </c>
      <c r="V140" s="111">
        <f>U140*91</f>
        <v>124982.43333333332</v>
      </c>
      <c r="W140" s="64">
        <f>SUM(C140+D140+E140+H140+I140+J140+M140+N140+O140+R140+S140+T140)/12</f>
        <v>1243.105</v>
      </c>
      <c r="X140" s="65">
        <f>W140*365</f>
        <v>453733.32500000001</v>
      </c>
    </row>
    <row r="141" spans="1:24" ht="15" customHeight="1" thickBot="1" x14ac:dyDescent="0.3">
      <c r="A141" s="51" t="s">
        <v>259</v>
      </c>
      <c r="B141" s="44" t="s">
        <v>283</v>
      </c>
      <c r="C141" s="4">
        <v>411.26</v>
      </c>
      <c r="D141" s="4">
        <v>427.84</v>
      </c>
      <c r="E141" s="3">
        <v>413.47</v>
      </c>
      <c r="F141" s="63">
        <f t="shared" ref="F141:F150" si="78">SUM(C141:E141)/3</f>
        <v>417.52333333333331</v>
      </c>
      <c r="G141" s="108">
        <f t="shared" ref="G141:G150" si="79">F141*92</f>
        <v>38412.146666666667</v>
      </c>
      <c r="H141" s="3">
        <v>420.9</v>
      </c>
      <c r="I141" s="3">
        <v>424.1</v>
      </c>
      <c r="J141" s="3">
        <v>416.9</v>
      </c>
      <c r="K141" s="63">
        <f t="shared" ref="K141:K151" si="80">SUM(H141:J141)/3</f>
        <v>420.63333333333338</v>
      </c>
      <c r="L141" s="108">
        <f t="shared" ref="L141:L151" si="81">K141*92</f>
        <v>38698.26666666667</v>
      </c>
      <c r="M141" s="3">
        <v>428.3</v>
      </c>
      <c r="N141" s="87">
        <v>431.7</v>
      </c>
      <c r="O141" s="87">
        <v>423.3</v>
      </c>
      <c r="P141" s="63">
        <f t="shared" ref="P141:P151" si="82">SUM(M141:O141)/3</f>
        <v>427.76666666666665</v>
      </c>
      <c r="Q141" s="108">
        <f t="shared" ref="Q141:Q151" si="83">P141*90</f>
        <v>38499</v>
      </c>
      <c r="R141" s="3">
        <v>427.4</v>
      </c>
      <c r="S141" s="87">
        <v>421.6</v>
      </c>
      <c r="T141" s="90">
        <v>412.1</v>
      </c>
      <c r="U141" s="63">
        <f t="shared" ref="U141:U151" si="84">SUM(R141:T141)/3</f>
        <v>420.36666666666662</v>
      </c>
      <c r="V141" s="111">
        <f t="shared" ref="V141:V151" si="85">U141*91</f>
        <v>38253.366666666661</v>
      </c>
      <c r="W141" s="64">
        <f t="shared" ref="W141:W151" si="86">SUM(C141+D141+E141+H141+I141+J141+M141+N141+O141+R141+S141+T141)/12</f>
        <v>421.57250000000005</v>
      </c>
      <c r="X141" s="65">
        <f t="shared" ref="X141:X150" si="87">W141*365</f>
        <v>153873.96250000002</v>
      </c>
    </row>
    <row r="142" spans="1:24" ht="15" customHeight="1" thickBot="1" x14ac:dyDescent="0.3">
      <c r="A142" s="50" t="s">
        <v>15</v>
      </c>
      <c r="B142" s="44" t="s">
        <v>252</v>
      </c>
      <c r="C142" s="4">
        <v>69.55</v>
      </c>
      <c r="D142" s="4">
        <v>68.94</v>
      </c>
      <c r="E142" s="3">
        <v>73.2</v>
      </c>
      <c r="F142" s="63">
        <f t="shared" si="78"/>
        <v>70.563333333333333</v>
      </c>
      <c r="G142" s="108">
        <f t="shared" si="79"/>
        <v>6491.8266666666668</v>
      </c>
      <c r="H142" s="3">
        <v>71.61</v>
      </c>
      <c r="I142" s="3">
        <v>66.77</v>
      </c>
      <c r="J142" s="3">
        <v>61.16</v>
      </c>
      <c r="K142" s="63">
        <f t="shared" si="80"/>
        <v>66.513333333333335</v>
      </c>
      <c r="L142" s="108">
        <f t="shared" si="81"/>
        <v>6119.2266666666665</v>
      </c>
      <c r="M142" s="3">
        <v>69.7</v>
      </c>
      <c r="N142" s="87">
        <v>71</v>
      </c>
      <c r="O142" s="87">
        <v>60.4</v>
      </c>
      <c r="P142" s="63">
        <f t="shared" si="82"/>
        <v>67.033333333333331</v>
      </c>
      <c r="Q142" s="108">
        <f t="shared" si="83"/>
        <v>6033</v>
      </c>
      <c r="R142" s="3">
        <v>64.8</v>
      </c>
      <c r="S142" s="87">
        <v>62.6</v>
      </c>
      <c r="T142" s="90">
        <v>65.099999999999994</v>
      </c>
      <c r="U142" s="63">
        <f t="shared" si="84"/>
        <v>64.166666666666671</v>
      </c>
      <c r="V142" s="111">
        <f t="shared" si="85"/>
        <v>5839.166666666667</v>
      </c>
      <c r="W142" s="64">
        <f t="shared" si="86"/>
        <v>67.069166666666675</v>
      </c>
      <c r="X142" s="65">
        <f t="shared" si="87"/>
        <v>24480.245833333338</v>
      </c>
    </row>
    <row r="143" spans="1:24" ht="15" customHeight="1" thickBot="1" x14ac:dyDescent="0.3">
      <c r="A143" s="50" t="s">
        <v>16</v>
      </c>
      <c r="B143" s="44" t="s">
        <v>467</v>
      </c>
      <c r="C143" s="4">
        <v>236.26</v>
      </c>
      <c r="D143" s="4">
        <v>236.81</v>
      </c>
      <c r="E143" s="3">
        <v>240.63</v>
      </c>
      <c r="F143" s="63">
        <f t="shared" si="78"/>
        <v>237.9</v>
      </c>
      <c r="G143" s="108">
        <f t="shared" si="79"/>
        <v>21886.799999999999</v>
      </c>
      <c r="H143" s="3">
        <v>252.13</v>
      </c>
      <c r="I143" s="3">
        <v>249.3</v>
      </c>
      <c r="J143" s="3">
        <v>258.16000000000003</v>
      </c>
      <c r="K143" s="63">
        <f t="shared" si="80"/>
        <v>253.19666666666669</v>
      </c>
      <c r="L143" s="108">
        <f t="shared" si="81"/>
        <v>23294.093333333334</v>
      </c>
      <c r="M143" s="3">
        <v>250.6</v>
      </c>
      <c r="N143" s="87">
        <v>214.1</v>
      </c>
      <c r="O143" s="87">
        <v>228.3</v>
      </c>
      <c r="P143" s="63">
        <f t="shared" si="82"/>
        <v>231</v>
      </c>
      <c r="Q143" s="108">
        <f t="shared" si="83"/>
        <v>20790</v>
      </c>
      <c r="R143" s="3">
        <v>224.4</v>
      </c>
      <c r="S143" s="87">
        <v>238.2</v>
      </c>
      <c r="T143" s="90">
        <v>246.8</v>
      </c>
      <c r="U143" s="63">
        <f t="shared" si="84"/>
        <v>236.4666666666667</v>
      </c>
      <c r="V143" s="111">
        <f t="shared" si="85"/>
        <v>21518.466666666671</v>
      </c>
      <c r="W143" s="64">
        <f t="shared" si="86"/>
        <v>239.64083333333335</v>
      </c>
      <c r="X143" s="65">
        <f t="shared" si="87"/>
        <v>87468.904166666674</v>
      </c>
    </row>
    <row r="144" spans="1:24" ht="15" customHeight="1" thickBot="1" x14ac:dyDescent="0.3">
      <c r="A144" s="50" t="s">
        <v>129</v>
      </c>
      <c r="B144" s="44" t="s">
        <v>285</v>
      </c>
      <c r="C144" s="4">
        <v>108.48</v>
      </c>
      <c r="D144" s="4">
        <v>104.16</v>
      </c>
      <c r="E144" s="3">
        <v>102.9</v>
      </c>
      <c r="F144" s="63">
        <f t="shared" si="78"/>
        <v>105.17999999999999</v>
      </c>
      <c r="G144" s="108">
        <f t="shared" si="79"/>
        <v>9676.56</v>
      </c>
      <c r="H144" s="3">
        <v>104.23</v>
      </c>
      <c r="I144" s="3">
        <v>99.27</v>
      </c>
      <c r="J144" s="3">
        <v>97.68</v>
      </c>
      <c r="K144" s="63">
        <f t="shared" si="80"/>
        <v>100.39333333333333</v>
      </c>
      <c r="L144" s="108">
        <f t="shared" si="81"/>
        <v>9236.1866666666665</v>
      </c>
      <c r="M144" s="3">
        <v>104.5</v>
      </c>
      <c r="N144" s="87">
        <v>103.8</v>
      </c>
      <c r="O144" s="87">
        <v>103.7</v>
      </c>
      <c r="P144" s="63">
        <f t="shared" si="82"/>
        <v>104</v>
      </c>
      <c r="Q144" s="108">
        <f t="shared" si="83"/>
        <v>9360</v>
      </c>
      <c r="R144" s="3">
        <v>107.9</v>
      </c>
      <c r="S144" s="87">
        <v>105.1</v>
      </c>
      <c r="T144" s="90">
        <v>107.9</v>
      </c>
      <c r="U144" s="63">
        <f t="shared" si="84"/>
        <v>106.96666666666665</v>
      </c>
      <c r="V144" s="111">
        <f t="shared" si="85"/>
        <v>9733.9666666666653</v>
      </c>
      <c r="W144" s="64">
        <f t="shared" si="86"/>
        <v>104.13500000000001</v>
      </c>
      <c r="X144" s="65">
        <f t="shared" si="87"/>
        <v>38009.275000000001</v>
      </c>
    </row>
    <row r="145" spans="1:24" ht="15" customHeight="1" thickBot="1" x14ac:dyDescent="0.3">
      <c r="A145" s="51" t="s">
        <v>260</v>
      </c>
      <c r="B145" s="44" t="s">
        <v>292</v>
      </c>
      <c r="C145" s="4">
        <f>332.55+175.84</f>
        <v>508.39</v>
      </c>
      <c r="D145" s="4">
        <f>324.42+175.81</f>
        <v>500.23</v>
      </c>
      <c r="E145" s="3">
        <f>329.47+175.3</f>
        <v>504.77000000000004</v>
      </c>
      <c r="F145" s="63">
        <f t="shared" si="78"/>
        <v>504.46333333333337</v>
      </c>
      <c r="G145" s="108">
        <f t="shared" si="79"/>
        <v>46410.626666666671</v>
      </c>
      <c r="H145" s="3">
        <f>327.9+173.16</f>
        <v>501.05999999999995</v>
      </c>
      <c r="I145" s="3">
        <f>313.67+171.43</f>
        <v>485.1</v>
      </c>
      <c r="J145" s="3">
        <f>317.03+173.48</f>
        <v>490.51</v>
      </c>
      <c r="K145" s="63">
        <f t="shared" si="80"/>
        <v>492.22333333333336</v>
      </c>
      <c r="L145" s="108">
        <f t="shared" si="81"/>
        <v>45284.546666666669</v>
      </c>
      <c r="M145" s="3">
        <f>329.5+175.9</f>
        <v>505.4</v>
      </c>
      <c r="N145" s="87">
        <f>333.1+175.9</f>
        <v>509</v>
      </c>
      <c r="O145" s="87">
        <f>335.5+175.9</f>
        <v>511.4</v>
      </c>
      <c r="P145" s="63">
        <f t="shared" si="82"/>
        <v>508.59999999999997</v>
      </c>
      <c r="Q145" s="108">
        <f t="shared" si="83"/>
        <v>45774</v>
      </c>
      <c r="R145" s="3">
        <f>326.2+175.7</f>
        <v>501.9</v>
      </c>
      <c r="S145" s="87">
        <f>327.6+175.6</f>
        <v>503.20000000000005</v>
      </c>
      <c r="T145" s="90">
        <f>330.1+175.6</f>
        <v>505.70000000000005</v>
      </c>
      <c r="U145" s="63">
        <f t="shared" si="84"/>
        <v>503.60000000000008</v>
      </c>
      <c r="V145" s="111">
        <f t="shared" si="85"/>
        <v>45827.600000000006</v>
      </c>
      <c r="W145" s="64">
        <f t="shared" si="86"/>
        <v>502.22166666666664</v>
      </c>
      <c r="X145" s="65">
        <f t="shared" si="87"/>
        <v>183310.90833333333</v>
      </c>
    </row>
    <row r="146" spans="1:24" ht="15" customHeight="1" thickBot="1" x14ac:dyDescent="0.3">
      <c r="A146" s="50" t="s">
        <v>138</v>
      </c>
      <c r="B146" s="121" t="s">
        <v>286</v>
      </c>
      <c r="C146" s="4">
        <v>121.23</v>
      </c>
      <c r="D146" s="4">
        <v>107.94</v>
      </c>
      <c r="E146" s="3">
        <v>105.6</v>
      </c>
      <c r="F146" s="63">
        <f t="shared" si="78"/>
        <v>111.58999999999999</v>
      </c>
      <c r="G146" s="108">
        <f t="shared" si="79"/>
        <v>10266.279999999999</v>
      </c>
      <c r="H146" s="3">
        <v>98.77</v>
      </c>
      <c r="I146" s="3">
        <v>99.77</v>
      </c>
      <c r="J146" s="3">
        <v>99.03</v>
      </c>
      <c r="K146" s="63">
        <f t="shared" si="80"/>
        <v>99.19</v>
      </c>
      <c r="L146" s="108">
        <f t="shared" si="81"/>
        <v>9125.48</v>
      </c>
      <c r="M146" s="3">
        <v>90.5</v>
      </c>
      <c r="N146" s="87">
        <v>95.1</v>
      </c>
      <c r="O146" s="87">
        <v>85.2</v>
      </c>
      <c r="P146" s="63">
        <f t="shared" si="82"/>
        <v>90.266666666666666</v>
      </c>
      <c r="Q146" s="108">
        <f t="shared" si="83"/>
        <v>8124</v>
      </c>
      <c r="R146" s="3">
        <v>88.4</v>
      </c>
      <c r="S146" s="87">
        <v>67.400000000000006</v>
      </c>
      <c r="T146" s="90">
        <v>1.4</v>
      </c>
      <c r="U146" s="63">
        <f t="shared" si="84"/>
        <v>52.400000000000006</v>
      </c>
      <c r="V146" s="111">
        <f t="shared" si="85"/>
        <v>4768.4000000000005</v>
      </c>
      <c r="W146" s="64">
        <f t="shared" si="86"/>
        <v>88.361666666666679</v>
      </c>
      <c r="X146" s="65">
        <f t="shared" si="87"/>
        <v>32252.008333333339</v>
      </c>
    </row>
    <row r="147" spans="1:24" ht="15" customHeight="1" thickBot="1" x14ac:dyDescent="0.3">
      <c r="A147" s="49" t="s">
        <v>19</v>
      </c>
      <c r="B147" s="43" t="s">
        <v>287</v>
      </c>
      <c r="C147" s="126">
        <v>299.83999999999997</v>
      </c>
      <c r="D147" s="126">
        <v>332.32</v>
      </c>
      <c r="E147" s="118">
        <v>393.43</v>
      </c>
      <c r="F147" s="63">
        <f t="shared" si="78"/>
        <v>341.86333333333329</v>
      </c>
      <c r="G147" s="108">
        <f t="shared" si="79"/>
        <v>31451.426666666663</v>
      </c>
      <c r="H147" s="118">
        <v>509.35</v>
      </c>
      <c r="I147" s="3">
        <v>500.67</v>
      </c>
      <c r="J147" s="118">
        <v>493.52</v>
      </c>
      <c r="K147" s="63">
        <f t="shared" si="80"/>
        <v>501.18</v>
      </c>
      <c r="L147" s="111">
        <f t="shared" si="81"/>
        <v>46108.56</v>
      </c>
      <c r="M147" s="3">
        <v>485</v>
      </c>
      <c r="N147" s="86">
        <v>494.8</v>
      </c>
      <c r="O147" s="86">
        <v>494.3</v>
      </c>
      <c r="P147" s="63">
        <f t="shared" si="82"/>
        <v>491.36666666666662</v>
      </c>
      <c r="Q147" s="108">
        <f t="shared" si="83"/>
        <v>44222.999999999993</v>
      </c>
      <c r="R147" s="3">
        <f>518.2</f>
        <v>518.20000000000005</v>
      </c>
      <c r="S147" s="86">
        <v>495.5</v>
      </c>
      <c r="T147" s="89">
        <v>517.9</v>
      </c>
      <c r="U147" s="63">
        <f t="shared" si="84"/>
        <v>510.5333333333333</v>
      </c>
      <c r="V147" s="111">
        <f t="shared" si="85"/>
        <v>46458.533333333333</v>
      </c>
      <c r="W147" s="64">
        <f t="shared" si="86"/>
        <v>461.23583333333335</v>
      </c>
      <c r="X147" s="65">
        <f t="shared" si="87"/>
        <v>168351.07916666666</v>
      </c>
    </row>
    <row r="148" spans="1:24" ht="15" customHeight="1" thickBot="1" x14ac:dyDescent="0.3">
      <c r="A148" s="51" t="s">
        <v>431</v>
      </c>
      <c r="B148" s="44" t="s">
        <v>432</v>
      </c>
      <c r="C148" s="4">
        <f>329.68+135</f>
        <v>464.68</v>
      </c>
      <c r="D148" s="4">
        <f>322.13+136.55</f>
        <v>458.68</v>
      </c>
      <c r="E148" s="3">
        <f>334.4+135.43</f>
        <v>469.83</v>
      </c>
      <c r="F148" s="63">
        <f t="shared" si="78"/>
        <v>464.3966666666667</v>
      </c>
      <c r="G148" s="108">
        <f t="shared" si="79"/>
        <v>42724.493333333339</v>
      </c>
      <c r="H148" s="3">
        <f>338.03+133.74</f>
        <v>471.77</v>
      </c>
      <c r="I148" s="3">
        <f>321.27+127.63</f>
        <v>448.9</v>
      </c>
      <c r="J148" s="3">
        <f>303.55+113.58</f>
        <v>417.13</v>
      </c>
      <c r="K148" s="63">
        <f t="shared" si="80"/>
        <v>445.93333333333334</v>
      </c>
      <c r="L148" s="108">
        <f t="shared" si="81"/>
        <v>41025.866666666669</v>
      </c>
      <c r="M148" s="3">
        <f>296.4+119.1</f>
        <v>415.5</v>
      </c>
      <c r="N148" s="87">
        <f>319+12.6</f>
        <v>331.6</v>
      </c>
      <c r="O148" s="87">
        <f>317.5+122.8</f>
        <v>440.3</v>
      </c>
      <c r="P148" s="63">
        <f t="shared" si="82"/>
        <v>395.8</v>
      </c>
      <c r="Q148" s="108">
        <f t="shared" si="83"/>
        <v>35622</v>
      </c>
      <c r="R148" s="3">
        <f>318.7+115.7</f>
        <v>434.4</v>
      </c>
      <c r="S148" s="87">
        <f>325.5+101.9</f>
        <v>427.4</v>
      </c>
      <c r="T148" s="90">
        <f>323.5+92.7</f>
        <v>416.2</v>
      </c>
      <c r="U148" s="63">
        <f t="shared" si="84"/>
        <v>426</v>
      </c>
      <c r="V148" s="111">
        <f t="shared" si="85"/>
        <v>38766</v>
      </c>
      <c r="W148" s="64">
        <f t="shared" si="86"/>
        <v>433.03249999999997</v>
      </c>
      <c r="X148" s="65">
        <f t="shared" si="87"/>
        <v>158056.86249999999</v>
      </c>
    </row>
    <row r="149" spans="1:24" ht="15" customHeight="1" thickBot="1" x14ac:dyDescent="0.3">
      <c r="A149" s="50" t="s">
        <v>130</v>
      </c>
      <c r="B149" s="44" t="s">
        <v>468</v>
      </c>
      <c r="C149" s="4">
        <v>195.52</v>
      </c>
      <c r="D149" s="4">
        <v>205.48</v>
      </c>
      <c r="E149" s="3">
        <v>206.43</v>
      </c>
      <c r="F149" s="63">
        <f t="shared" si="78"/>
        <v>202.47666666666669</v>
      </c>
      <c r="G149" s="108">
        <f t="shared" si="79"/>
        <v>18627.853333333336</v>
      </c>
      <c r="H149" s="3">
        <v>190.35</v>
      </c>
      <c r="I149" s="3">
        <v>190.57</v>
      </c>
      <c r="J149" s="3">
        <v>178.94</v>
      </c>
      <c r="K149" s="63">
        <f t="shared" si="80"/>
        <v>186.61999999999998</v>
      </c>
      <c r="L149" s="108">
        <f t="shared" si="81"/>
        <v>17169.039999999997</v>
      </c>
      <c r="M149" s="3">
        <v>177.7</v>
      </c>
      <c r="N149" s="87">
        <v>173.3</v>
      </c>
      <c r="O149" s="87">
        <v>198.1</v>
      </c>
      <c r="P149" s="63">
        <f t="shared" si="82"/>
        <v>183.03333333333333</v>
      </c>
      <c r="Q149" s="108">
        <f t="shared" si="83"/>
        <v>16473</v>
      </c>
      <c r="R149" s="3">
        <v>216.1</v>
      </c>
      <c r="S149" s="87">
        <v>216.6</v>
      </c>
      <c r="T149" s="90">
        <v>201.3</v>
      </c>
      <c r="U149" s="63">
        <f t="shared" si="84"/>
        <v>211.33333333333334</v>
      </c>
      <c r="V149" s="111">
        <f t="shared" si="85"/>
        <v>19231.333333333336</v>
      </c>
      <c r="W149" s="64">
        <f t="shared" si="86"/>
        <v>195.86583333333337</v>
      </c>
      <c r="X149" s="65">
        <f t="shared" si="87"/>
        <v>71491.029166666674</v>
      </c>
    </row>
    <row r="150" spans="1:24" ht="15" customHeight="1" thickBot="1" x14ac:dyDescent="0.3">
      <c r="A150" s="50" t="s">
        <v>131</v>
      </c>
      <c r="B150" s="34"/>
      <c r="C150" s="4">
        <v>0</v>
      </c>
      <c r="D150" s="4">
        <v>0</v>
      </c>
      <c r="E150" s="18"/>
      <c r="F150" s="67">
        <f t="shared" si="78"/>
        <v>0</v>
      </c>
      <c r="G150" s="108">
        <f t="shared" si="79"/>
        <v>0</v>
      </c>
      <c r="H150" s="18"/>
      <c r="I150" s="18"/>
      <c r="J150" s="18"/>
      <c r="K150" s="67">
        <f t="shared" si="80"/>
        <v>0</v>
      </c>
      <c r="L150" s="108">
        <f t="shared" si="81"/>
        <v>0</v>
      </c>
      <c r="M150" s="18"/>
      <c r="N150" s="4"/>
      <c r="O150" s="87"/>
      <c r="P150" s="67">
        <f t="shared" si="82"/>
        <v>0</v>
      </c>
      <c r="Q150" s="108">
        <f t="shared" si="83"/>
        <v>0</v>
      </c>
      <c r="R150" s="3"/>
      <c r="S150" s="3"/>
      <c r="T150" s="4"/>
      <c r="U150" s="67">
        <f t="shared" si="84"/>
        <v>0</v>
      </c>
      <c r="V150" s="112">
        <f t="shared" si="85"/>
        <v>0</v>
      </c>
      <c r="W150" s="137">
        <f t="shared" si="86"/>
        <v>0</v>
      </c>
      <c r="X150" s="65">
        <f t="shared" si="87"/>
        <v>0</v>
      </c>
    </row>
    <row r="151" spans="1:24" ht="15" customHeight="1" thickBot="1" x14ac:dyDescent="0.3">
      <c r="A151" s="46" t="s">
        <v>139</v>
      </c>
      <c r="B151" s="35"/>
      <c r="C151" s="80">
        <f>SUM(C137:C150)</f>
        <v>4708.9600000000009</v>
      </c>
      <c r="D151" s="80">
        <f>SUM(D137:D150)</f>
        <v>4795.9799999999996</v>
      </c>
      <c r="E151" s="80">
        <f>SUM(E137:E150)</f>
        <v>4952.92</v>
      </c>
      <c r="F151" s="68">
        <f>SUM(C151:E151)/3</f>
        <v>4819.2866666666669</v>
      </c>
      <c r="G151" s="108">
        <f>F151*92</f>
        <v>443374.37333333335</v>
      </c>
      <c r="H151" s="94">
        <f>SUM(H137:H150)</f>
        <v>5224.17</v>
      </c>
      <c r="I151" s="80">
        <f>SUM(I137:I150)</f>
        <v>5174.3199999999988</v>
      </c>
      <c r="J151" s="80">
        <f>SUM(J137:J150)</f>
        <v>5087.4299999999994</v>
      </c>
      <c r="K151" s="68">
        <f t="shared" si="80"/>
        <v>5161.9733333333324</v>
      </c>
      <c r="L151" s="119">
        <f t="shared" si="81"/>
        <v>474901.54666666657</v>
      </c>
      <c r="M151" s="9">
        <f>SUM(M137:M150)</f>
        <v>5110.5999999999995</v>
      </c>
      <c r="N151" s="80">
        <f>SUM(N137:N150)</f>
        <v>5011</v>
      </c>
      <c r="O151" s="80">
        <f>SUM(O137:O150)</f>
        <v>5123.7000000000007</v>
      </c>
      <c r="P151" s="68">
        <f t="shared" si="82"/>
        <v>5081.7666666666664</v>
      </c>
      <c r="Q151" s="119">
        <f t="shared" si="83"/>
        <v>457359</v>
      </c>
      <c r="R151" s="94">
        <f>SUM(R137:R150)</f>
        <v>5152.7000000000007</v>
      </c>
      <c r="S151" s="80">
        <f>SUM(S137:S150)</f>
        <v>5069.7999999999993</v>
      </c>
      <c r="T151" s="81">
        <f>SUM(T137:T150)</f>
        <v>5042.3</v>
      </c>
      <c r="U151" s="68">
        <f t="shared" si="84"/>
        <v>5088.2666666666664</v>
      </c>
      <c r="V151" s="120">
        <f t="shared" si="85"/>
        <v>463032.26666666666</v>
      </c>
      <c r="W151" s="138">
        <f t="shared" si="86"/>
        <v>5037.8233333333337</v>
      </c>
      <c r="X151" s="608">
        <f>SUM(X137:X150)</f>
        <v>1838805.5166666661</v>
      </c>
    </row>
    <row r="152" spans="1:24" ht="15" customHeight="1" thickBot="1" x14ac:dyDescent="0.3">
      <c r="A152" s="46" t="s">
        <v>140</v>
      </c>
      <c r="B152" s="35"/>
      <c r="C152" s="70"/>
      <c r="D152" s="70"/>
      <c r="E152" s="71"/>
      <c r="F152" s="98"/>
      <c r="G152" s="98"/>
      <c r="H152" s="72"/>
      <c r="I152" s="70" t="s">
        <v>236</v>
      </c>
      <c r="J152" s="71"/>
      <c r="K152" s="97"/>
      <c r="L152" s="97"/>
      <c r="M152" s="72"/>
      <c r="N152" s="70"/>
      <c r="O152" s="71"/>
      <c r="P152" s="97"/>
      <c r="Q152" s="97"/>
      <c r="R152" s="72"/>
      <c r="S152" s="70"/>
      <c r="T152" s="71"/>
      <c r="U152" s="71"/>
      <c r="V152" s="70"/>
      <c r="W152" s="96"/>
      <c r="X152" s="69" t="s">
        <v>0</v>
      </c>
    </row>
    <row r="153" spans="1:24" ht="15" customHeight="1" thickBot="1" x14ac:dyDescent="0.3">
      <c r="A153" s="598" t="s">
        <v>132</v>
      </c>
      <c r="B153" s="599" t="s">
        <v>469</v>
      </c>
      <c r="C153" s="600">
        <v>779.06</v>
      </c>
      <c r="D153" s="600">
        <v>776.29</v>
      </c>
      <c r="E153" s="600">
        <v>789.97</v>
      </c>
      <c r="F153" s="601">
        <f t="shared" ref="F153:F159" si="88">SUM(C153:E153)/3</f>
        <v>781.7733333333332</v>
      </c>
      <c r="G153" s="602">
        <f t="shared" ref="G153:G159" si="89">F153*92</f>
        <v>71923.146666666653</v>
      </c>
      <c r="H153" s="600">
        <v>756.94</v>
      </c>
      <c r="I153" s="600">
        <v>766.6</v>
      </c>
      <c r="J153" s="600">
        <v>741.45</v>
      </c>
      <c r="K153" s="601">
        <f t="shared" ref="K153:K160" si="90">SUM(H153:J153)/3</f>
        <v>754.99666666666656</v>
      </c>
      <c r="L153" s="602">
        <f t="shared" ref="L153:L159" si="91">K153*92</f>
        <v>69459.693333333329</v>
      </c>
      <c r="M153" s="600">
        <v>742.32</v>
      </c>
      <c r="N153" s="603">
        <v>764</v>
      </c>
      <c r="O153" s="603">
        <v>776.68</v>
      </c>
      <c r="P153" s="601">
        <f t="shared" ref="P153:P160" si="92">SUM(M153:O153)/3</f>
        <v>761</v>
      </c>
      <c r="Q153" s="602">
        <f t="shared" ref="Q153:Q159" si="93">P153*90</f>
        <v>68490</v>
      </c>
      <c r="R153" s="600">
        <v>753.07</v>
      </c>
      <c r="S153" s="603">
        <v>741.45</v>
      </c>
      <c r="T153" s="604">
        <v>739.17</v>
      </c>
      <c r="U153" s="601">
        <f t="shared" ref="U153:U160" si="94">SUM(R153:T153)/3</f>
        <v>744.56333333333339</v>
      </c>
      <c r="V153" s="605">
        <f t="shared" ref="V153:V159" si="95">U153*91</f>
        <v>67755.263333333336</v>
      </c>
      <c r="W153" s="606">
        <f t="shared" ref="W153:W158" si="96">SUM(C153+D153+E153+H153+I153+J153+M153+N153+O153+R153+S153+T153)/12</f>
        <v>760.58333333333337</v>
      </c>
      <c r="X153" s="607">
        <f t="shared" ref="X153:X158" si="97">W153*365</f>
        <v>277612.91666666669</v>
      </c>
    </row>
    <row r="154" spans="1:24" ht="15" customHeight="1" thickBot="1" x14ac:dyDescent="0.3">
      <c r="A154" s="50" t="s">
        <v>133</v>
      </c>
      <c r="B154" s="496">
        <v>35</v>
      </c>
      <c r="C154" s="5">
        <v>9.94</v>
      </c>
      <c r="D154" s="5">
        <v>10</v>
      </c>
      <c r="E154" s="5">
        <v>10.5</v>
      </c>
      <c r="F154" s="63">
        <f t="shared" si="88"/>
        <v>10.146666666666667</v>
      </c>
      <c r="G154" s="108">
        <f t="shared" si="89"/>
        <v>933.49333333333334</v>
      </c>
      <c r="H154" s="5">
        <v>10</v>
      </c>
      <c r="I154" s="5">
        <f>10+0.37</f>
        <v>10.37</v>
      </c>
      <c r="J154" s="5">
        <f>1+9.13</f>
        <v>10.130000000000001</v>
      </c>
      <c r="K154" s="63">
        <f t="shared" si="90"/>
        <v>10.166666666666666</v>
      </c>
      <c r="L154" s="108">
        <f t="shared" si="91"/>
        <v>935.33333333333326</v>
      </c>
      <c r="M154" s="5">
        <f>1+11.71</f>
        <v>12.71</v>
      </c>
      <c r="N154" s="75">
        <f>1+11.32</f>
        <v>12.32</v>
      </c>
      <c r="O154" s="75">
        <f>1+10.55</f>
        <v>11.55</v>
      </c>
      <c r="P154" s="63">
        <f t="shared" si="92"/>
        <v>12.193333333333333</v>
      </c>
      <c r="Q154" s="108">
        <f t="shared" si="93"/>
        <v>1097.4000000000001</v>
      </c>
      <c r="R154" s="5">
        <f>1+11</f>
        <v>12</v>
      </c>
      <c r="S154" s="75">
        <f>1+11</f>
        <v>12</v>
      </c>
      <c r="T154" s="76">
        <f>0.43+11</f>
        <v>11.43</v>
      </c>
      <c r="U154" s="63">
        <f t="shared" si="94"/>
        <v>11.81</v>
      </c>
      <c r="V154" s="111">
        <f t="shared" si="95"/>
        <v>1074.71</v>
      </c>
      <c r="W154" s="64">
        <f t="shared" si="96"/>
        <v>11.079166666666666</v>
      </c>
      <c r="X154" s="66">
        <f t="shared" si="97"/>
        <v>4043.895833333333</v>
      </c>
    </row>
    <row r="155" spans="1:24" ht="15" customHeight="1" thickBot="1" x14ac:dyDescent="0.3">
      <c r="A155" s="50" t="s">
        <v>135</v>
      </c>
      <c r="B155" s="496">
        <v>26</v>
      </c>
      <c r="C155" s="5">
        <v>17</v>
      </c>
      <c r="D155" s="5">
        <v>19</v>
      </c>
      <c r="E155" s="5">
        <v>18</v>
      </c>
      <c r="F155" s="63">
        <f t="shared" si="88"/>
        <v>18</v>
      </c>
      <c r="G155" s="108">
        <f t="shared" si="89"/>
        <v>1656</v>
      </c>
      <c r="H155" s="5">
        <v>17</v>
      </c>
      <c r="I155" s="5">
        <v>18</v>
      </c>
      <c r="J155" s="5">
        <v>19</v>
      </c>
      <c r="K155" s="63">
        <f t="shared" si="90"/>
        <v>18</v>
      </c>
      <c r="L155" s="108">
        <f t="shared" si="91"/>
        <v>1656</v>
      </c>
      <c r="M155" s="5">
        <v>33</v>
      </c>
      <c r="N155" s="75">
        <v>26</v>
      </c>
      <c r="O155" s="75">
        <v>11</v>
      </c>
      <c r="P155" s="63">
        <f t="shared" si="92"/>
        <v>23.333333333333332</v>
      </c>
      <c r="Q155" s="108">
        <f t="shared" si="93"/>
        <v>2100</v>
      </c>
      <c r="R155" s="5">
        <v>11</v>
      </c>
      <c r="S155" s="75">
        <v>14</v>
      </c>
      <c r="T155" s="76">
        <v>15</v>
      </c>
      <c r="U155" s="63">
        <f t="shared" si="94"/>
        <v>13.333333333333334</v>
      </c>
      <c r="V155" s="111">
        <f t="shared" si="95"/>
        <v>1213.3333333333335</v>
      </c>
      <c r="W155" s="64">
        <f t="shared" si="96"/>
        <v>18.166666666666668</v>
      </c>
      <c r="X155" s="65">
        <f t="shared" si="97"/>
        <v>6630.8333333333339</v>
      </c>
    </row>
    <row r="156" spans="1:24" ht="15" customHeight="1" thickBot="1" x14ac:dyDescent="0.3">
      <c r="A156" s="50" t="s">
        <v>134</v>
      </c>
      <c r="B156" s="496" t="s">
        <v>434</v>
      </c>
      <c r="C156" s="5">
        <v>345</v>
      </c>
      <c r="D156" s="5">
        <v>350</v>
      </c>
      <c r="E156" s="5">
        <v>355</v>
      </c>
      <c r="F156" s="63">
        <f t="shared" si="88"/>
        <v>350</v>
      </c>
      <c r="G156" s="108">
        <f t="shared" si="89"/>
        <v>32200</v>
      </c>
      <c r="H156" s="5">
        <v>381</v>
      </c>
      <c r="I156" s="5">
        <v>372</v>
      </c>
      <c r="J156" s="5">
        <v>371</v>
      </c>
      <c r="K156" s="63">
        <f t="shared" si="90"/>
        <v>374.66666666666669</v>
      </c>
      <c r="L156" s="108">
        <f t="shared" si="91"/>
        <v>34469.333333333336</v>
      </c>
      <c r="M156" s="5">
        <v>375</v>
      </c>
      <c r="N156" s="75">
        <v>394</v>
      </c>
      <c r="O156" s="75">
        <v>403</v>
      </c>
      <c r="P156" s="63">
        <f t="shared" si="92"/>
        <v>390.66666666666669</v>
      </c>
      <c r="Q156" s="108">
        <f t="shared" si="93"/>
        <v>35160</v>
      </c>
      <c r="R156" s="5">
        <v>422</v>
      </c>
      <c r="S156" s="75">
        <v>435</v>
      </c>
      <c r="T156" s="76">
        <v>431</v>
      </c>
      <c r="U156" s="63">
        <f t="shared" si="94"/>
        <v>429.33333333333331</v>
      </c>
      <c r="V156" s="111">
        <f t="shared" si="95"/>
        <v>39069.333333333328</v>
      </c>
      <c r="W156" s="64">
        <f t="shared" si="96"/>
        <v>386.16666666666669</v>
      </c>
      <c r="X156" s="66">
        <f t="shared" si="97"/>
        <v>140950.83333333334</v>
      </c>
    </row>
    <row r="157" spans="1:24" ht="15" customHeight="1" thickBot="1" x14ac:dyDescent="0.3">
      <c r="A157" s="50" t="s">
        <v>339</v>
      </c>
      <c r="B157" s="496">
        <v>1050</v>
      </c>
      <c r="C157" s="5">
        <v>331</v>
      </c>
      <c r="D157" s="5">
        <v>327</v>
      </c>
      <c r="E157" s="5">
        <v>242</v>
      </c>
      <c r="F157" s="63">
        <f t="shared" si="88"/>
        <v>300</v>
      </c>
      <c r="G157" s="108">
        <f t="shared" si="89"/>
        <v>27600</v>
      </c>
      <c r="H157" s="5">
        <v>0</v>
      </c>
      <c r="I157" s="5">
        <v>0</v>
      </c>
      <c r="J157" s="5">
        <v>0</v>
      </c>
      <c r="K157" s="63">
        <f t="shared" si="90"/>
        <v>0</v>
      </c>
      <c r="L157" s="108">
        <f t="shared" si="91"/>
        <v>0</v>
      </c>
      <c r="M157" s="5">
        <v>0</v>
      </c>
      <c r="N157" s="75">
        <v>0</v>
      </c>
      <c r="O157" s="75">
        <v>0</v>
      </c>
      <c r="P157" s="63">
        <f t="shared" si="92"/>
        <v>0</v>
      </c>
      <c r="Q157" s="108">
        <f t="shared" si="93"/>
        <v>0</v>
      </c>
      <c r="R157" s="5">
        <v>0</v>
      </c>
      <c r="S157" s="75">
        <v>0</v>
      </c>
      <c r="T157" s="76">
        <v>0</v>
      </c>
      <c r="U157" s="63">
        <f t="shared" si="94"/>
        <v>0</v>
      </c>
      <c r="V157" s="111">
        <f t="shared" si="95"/>
        <v>0</v>
      </c>
      <c r="W157" s="64">
        <f t="shared" si="96"/>
        <v>75</v>
      </c>
      <c r="X157" s="65">
        <f t="shared" si="97"/>
        <v>27375</v>
      </c>
    </row>
    <row r="158" spans="1:24" ht="15" customHeight="1" thickBot="1" x14ac:dyDescent="0.3">
      <c r="A158" s="50" t="s">
        <v>137</v>
      </c>
      <c r="B158" s="496" t="s">
        <v>434</v>
      </c>
      <c r="C158" s="5">
        <v>16</v>
      </c>
      <c r="D158" s="5">
        <v>16</v>
      </c>
      <c r="E158" s="5">
        <v>16</v>
      </c>
      <c r="F158" s="63">
        <f t="shared" si="88"/>
        <v>16</v>
      </c>
      <c r="G158" s="108">
        <f t="shared" si="89"/>
        <v>1472</v>
      </c>
      <c r="H158" s="5">
        <v>15</v>
      </c>
      <c r="I158" s="5">
        <v>15</v>
      </c>
      <c r="J158" s="5">
        <v>15</v>
      </c>
      <c r="K158" s="63">
        <f t="shared" si="90"/>
        <v>15</v>
      </c>
      <c r="L158" s="108">
        <f t="shared" si="91"/>
        <v>1380</v>
      </c>
      <c r="M158" s="5">
        <v>15</v>
      </c>
      <c r="N158" s="75">
        <v>15</v>
      </c>
      <c r="O158" s="75">
        <v>16</v>
      </c>
      <c r="P158" s="63">
        <f t="shared" si="92"/>
        <v>15.333333333333334</v>
      </c>
      <c r="Q158" s="108">
        <f t="shared" si="93"/>
        <v>1380</v>
      </c>
      <c r="R158" s="5">
        <v>16</v>
      </c>
      <c r="S158" s="75">
        <v>15</v>
      </c>
      <c r="T158" s="76">
        <v>15</v>
      </c>
      <c r="U158" s="63">
        <f t="shared" si="94"/>
        <v>15.333333333333334</v>
      </c>
      <c r="V158" s="112">
        <f t="shared" si="95"/>
        <v>1395.3333333333335</v>
      </c>
      <c r="W158" s="64">
        <f t="shared" si="96"/>
        <v>15.416666666666666</v>
      </c>
      <c r="X158" s="66">
        <f t="shared" si="97"/>
        <v>5627.083333333333</v>
      </c>
    </row>
    <row r="159" spans="1:24" ht="15" customHeight="1" thickBot="1" x14ac:dyDescent="0.3">
      <c r="A159" s="53" t="s">
        <v>141</v>
      </c>
      <c r="B159" s="37"/>
      <c r="C159" s="80">
        <f>SUM(C153:C158)</f>
        <v>1498</v>
      </c>
      <c r="D159" s="80">
        <f>SUM(D153:D158)</f>
        <v>1498.29</v>
      </c>
      <c r="E159" s="80">
        <f>SUM(E153:E158)</f>
        <v>1431.47</v>
      </c>
      <c r="F159" s="68">
        <f t="shared" si="88"/>
        <v>1475.92</v>
      </c>
      <c r="G159" s="108">
        <f t="shared" si="89"/>
        <v>135784.64000000001</v>
      </c>
      <c r="H159" s="94">
        <f>SUM(H153:H158)</f>
        <v>1179.94</v>
      </c>
      <c r="I159" s="80">
        <f>SUM(I153:I158)</f>
        <v>1181.97</v>
      </c>
      <c r="J159" s="80">
        <f>SUM(J153:J158)</f>
        <v>1156.58</v>
      </c>
      <c r="K159" s="68">
        <f t="shared" si="90"/>
        <v>1172.83</v>
      </c>
      <c r="L159" s="119">
        <f t="shared" si="91"/>
        <v>107900.35999999999</v>
      </c>
      <c r="M159" s="94">
        <f>SUM(M153:M158)</f>
        <v>1178.0300000000002</v>
      </c>
      <c r="N159" s="80">
        <f>SUM(N153:N158)</f>
        <v>1211.3200000000002</v>
      </c>
      <c r="O159" s="80">
        <f>SUM(O153:O158)</f>
        <v>1218.23</v>
      </c>
      <c r="P159" s="68">
        <f t="shared" si="92"/>
        <v>1202.5266666666669</v>
      </c>
      <c r="Q159" s="108">
        <f t="shared" si="93"/>
        <v>108227.40000000002</v>
      </c>
      <c r="R159" s="94">
        <f>SUM(R153:R158)</f>
        <v>1214.0700000000002</v>
      </c>
      <c r="S159" s="80">
        <f>SUM(S153:S158)</f>
        <v>1217.45</v>
      </c>
      <c r="T159" s="81">
        <f>SUM(T153:T158)</f>
        <v>1211.5999999999999</v>
      </c>
      <c r="U159" s="68">
        <f t="shared" si="94"/>
        <v>1214.3733333333334</v>
      </c>
      <c r="V159" s="120">
        <f t="shared" si="95"/>
        <v>110507.97333333334</v>
      </c>
      <c r="W159" s="69">
        <f>SUM(W153:W158)</f>
        <v>1266.4125000000001</v>
      </c>
      <c r="X159" s="69">
        <f>SUM(X153:X158)</f>
        <v>462240.56249999994</v>
      </c>
    </row>
    <row r="160" spans="1:24" ht="15" customHeight="1" thickBot="1" x14ac:dyDescent="0.3">
      <c r="A160" s="54" t="s">
        <v>145</v>
      </c>
      <c r="B160" s="38"/>
      <c r="C160" s="80">
        <f>C151+C159</f>
        <v>6206.9600000000009</v>
      </c>
      <c r="D160" s="80">
        <f>D151+D159</f>
        <v>6294.2699999999995</v>
      </c>
      <c r="E160" s="80">
        <f>E151+E159</f>
        <v>6384.39</v>
      </c>
      <c r="F160" s="80">
        <f>F151+F159</f>
        <v>6295.2066666666669</v>
      </c>
      <c r="G160" s="68">
        <f>SUM(G151+G159)</f>
        <v>579159.01333333342</v>
      </c>
      <c r="H160" s="80">
        <f>H151+H159</f>
        <v>6404.1100000000006</v>
      </c>
      <c r="I160" s="80">
        <f>I151+I159</f>
        <v>6356.2899999999991</v>
      </c>
      <c r="J160" s="80">
        <f>J151+J159</f>
        <v>6244.0099999999993</v>
      </c>
      <c r="K160" s="120">
        <f t="shared" si="90"/>
        <v>6334.8033333333333</v>
      </c>
      <c r="L160" s="68">
        <f>SUM(L151+L159)</f>
        <v>582801.9066666665</v>
      </c>
      <c r="M160" s="94">
        <f>M151+M159</f>
        <v>6288.6299999999992</v>
      </c>
      <c r="N160" s="80">
        <f>N151+N159</f>
        <v>6222.32</v>
      </c>
      <c r="O160" s="80">
        <f>O151+O159</f>
        <v>6341.93</v>
      </c>
      <c r="P160" s="99">
        <f t="shared" si="92"/>
        <v>6284.2933333333322</v>
      </c>
      <c r="Q160" s="68">
        <f>SUM(Q151+Q159)</f>
        <v>565586.4</v>
      </c>
      <c r="R160" s="94">
        <f>R151+R159</f>
        <v>6366.77</v>
      </c>
      <c r="S160" s="80">
        <f>S151+S159</f>
        <v>6287.2499999999991</v>
      </c>
      <c r="T160" s="81">
        <f>T151+T159</f>
        <v>6253.9</v>
      </c>
      <c r="U160" s="99">
        <f t="shared" si="94"/>
        <v>6302.6399999999994</v>
      </c>
      <c r="V160" s="68">
        <f>SUM(V151+V159)</f>
        <v>573540.24</v>
      </c>
      <c r="W160" s="80">
        <f>W151+W159</f>
        <v>6304.2358333333341</v>
      </c>
      <c r="X160" s="82">
        <f>X151+X159</f>
        <v>2301046.0791666661</v>
      </c>
    </row>
    <row r="161" spans="1:24" s="590" customFormat="1" ht="15" customHeight="1" x14ac:dyDescent="0.2">
      <c r="A161" s="591" t="s">
        <v>470</v>
      </c>
      <c r="B161" s="592"/>
      <c r="C161" s="593"/>
      <c r="D161" s="593"/>
      <c r="E161" s="593"/>
      <c r="F161" s="593"/>
      <c r="G161" s="594"/>
      <c r="H161" s="593"/>
      <c r="I161" s="593"/>
      <c r="J161" s="593"/>
      <c r="K161" s="595"/>
      <c r="L161" s="594"/>
      <c r="M161" s="593"/>
      <c r="N161" s="593"/>
      <c r="O161" s="593"/>
      <c r="P161" s="596"/>
      <c r="Q161" s="594"/>
      <c r="R161" s="593"/>
      <c r="S161" s="593"/>
      <c r="T161" s="593"/>
      <c r="U161" s="596"/>
      <c r="V161" s="594"/>
      <c r="W161" s="593"/>
      <c r="X161" s="593"/>
    </row>
    <row r="162" spans="1:24" s="590" customFormat="1" ht="15" customHeight="1" x14ac:dyDescent="0.2">
      <c r="A162" s="591" t="s">
        <v>514</v>
      </c>
      <c r="B162" s="592"/>
      <c r="C162" s="593"/>
      <c r="D162" s="593"/>
      <c r="E162" s="593"/>
      <c r="F162" s="593"/>
      <c r="G162" s="594"/>
      <c r="H162" s="593"/>
      <c r="I162" s="593"/>
      <c r="J162" s="593"/>
      <c r="K162" s="595"/>
      <c r="L162" s="594"/>
      <c r="M162" s="593"/>
      <c r="N162" s="593"/>
      <c r="O162" s="593"/>
      <c r="P162" s="596"/>
      <c r="Q162" s="594"/>
      <c r="R162" s="593"/>
      <c r="S162" s="593"/>
      <c r="T162" s="593"/>
      <c r="U162" s="596"/>
      <c r="V162" s="594"/>
      <c r="W162" s="593"/>
      <c r="X162" s="593"/>
    </row>
    <row r="163" spans="1:24" ht="15" customHeight="1" x14ac:dyDescent="0.25">
      <c r="A163" s="114"/>
      <c r="B163" s="19"/>
      <c r="C163" s="115"/>
      <c r="D163" s="115"/>
      <c r="E163" s="115"/>
      <c r="F163" s="115"/>
      <c r="G163" s="113"/>
      <c r="H163" s="115"/>
      <c r="I163" s="115"/>
      <c r="J163" s="115"/>
      <c r="K163" s="139"/>
      <c r="L163" s="113"/>
      <c r="M163" s="115"/>
      <c r="N163" s="115"/>
      <c r="O163" s="115"/>
      <c r="P163" s="93"/>
      <c r="Q163" s="113"/>
      <c r="R163" s="115"/>
      <c r="S163" s="115"/>
      <c r="T163" s="115"/>
      <c r="U163" s="93"/>
      <c r="V163" s="113"/>
      <c r="W163" s="115"/>
      <c r="X163" s="115"/>
    </row>
    <row r="164" spans="1:24" ht="22.5" customHeight="1" thickBot="1" x14ac:dyDescent="0.25">
      <c r="A164" s="45" t="s">
        <v>144</v>
      </c>
    </row>
    <row r="165" spans="1:24" ht="21.75" customHeight="1" thickBot="1" x14ac:dyDescent="0.3">
      <c r="A165" s="579" t="s">
        <v>445</v>
      </c>
      <c r="B165" s="1056" t="s">
        <v>142</v>
      </c>
      <c r="C165" s="1056"/>
      <c r="D165" s="1056"/>
      <c r="E165" s="1056"/>
      <c r="F165" s="1056"/>
      <c r="G165" s="1056"/>
      <c r="H165" s="1056"/>
      <c r="I165" s="1056"/>
      <c r="J165" s="1056"/>
      <c r="K165" s="1056"/>
      <c r="L165" s="1056"/>
      <c r="M165" s="1056"/>
      <c r="N165" s="1056"/>
      <c r="O165" s="1056"/>
      <c r="P165" s="1056"/>
      <c r="Q165" s="1056"/>
      <c r="R165" s="1056"/>
      <c r="S165" s="1056"/>
      <c r="T165" s="1056"/>
      <c r="U165" s="39"/>
      <c r="V165" s="39"/>
      <c r="W165" s="92"/>
      <c r="X165" s="13"/>
    </row>
    <row r="166" spans="1:24" ht="15" customHeight="1" x14ac:dyDescent="0.25">
      <c r="A166" s="563"/>
      <c r="B166" s="40" t="s">
        <v>245</v>
      </c>
      <c r="C166" s="57"/>
      <c r="D166" s="58"/>
      <c r="E166" s="58"/>
      <c r="F166" s="1047" t="s">
        <v>242</v>
      </c>
      <c r="G166" s="1039" t="s">
        <v>262</v>
      </c>
      <c r="H166" s="58"/>
      <c r="I166" s="58"/>
      <c r="J166" s="58"/>
      <c r="K166" s="1047" t="s">
        <v>242</v>
      </c>
      <c r="L166" s="1039" t="s">
        <v>262</v>
      </c>
      <c r="M166" s="58"/>
      <c r="N166" s="58"/>
      <c r="O166" s="58"/>
      <c r="P166" s="1047" t="s">
        <v>242</v>
      </c>
      <c r="Q166" s="1039" t="s">
        <v>262</v>
      </c>
      <c r="R166" s="58"/>
      <c r="S166" s="58"/>
      <c r="T166" s="59"/>
      <c r="U166" s="1047" t="s">
        <v>242</v>
      </c>
      <c r="V166" s="1039" t="s">
        <v>262</v>
      </c>
      <c r="W166" s="1051" t="s">
        <v>143</v>
      </c>
      <c r="X166" s="1053" t="s">
        <v>144</v>
      </c>
    </row>
    <row r="167" spans="1:24" ht="31.5" customHeight="1" thickBot="1" x14ac:dyDescent="0.3">
      <c r="A167" s="47" t="s">
        <v>55</v>
      </c>
      <c r="B167" s="41" t="s">
        <v>429</v>
      </c>
      <c r="C167" s="60">
        <v>41091</v>
      </c>
      <c r="D167" s="61">
        <v>41122</v>
      </c>
      <c r="E167" s="61">
        <v>41153</v>
      </c>
      <c r="F167" s="1048"/>
      <c r="G167" s="1040"/>
      <c r="H167" s="61">
        <v>41183</v>
      </c>
      <c r="I167" s="61">
        <v>41214</v>
      </c>
      <c r="J167" s="61">
        <v>41244</v>
      </c>
      <c r="K167" s="1048"/>
      <c r="L167" s="1040"/>
      <c r="M167" s="61">
        <v>41275</v>
      </c>
      <c r="N167" s="61">
        <v>41306</v>
      </c>
      <c r="O167" s="61">
        <v>41334</v>
      </c>
      <c r="P167" s="1048"/>
      <c r="Q167" s="1040"/>
      <c r="R167" s="61">
        <v>41365</v>
      </c>
      <c r="S167" s="61">
        <v>41395</v>
      </c>
      <c r="T167" s="62">
        <v>41426</v>
      </c>
      <c r="U167" s="1048"/>
      <c r="V167" s="1040"/>
      <c r="W167" s="1052"/>
      <c r="X167" s="1054"/>
    </row>
    <row r="168" spans="1:24" ht="15" customHeight="1" thickBot="1" x14ac:dyDescent="0.3">
      <c r="A168" s="48" t="s">
        <v>294</v>
      </c>
      <c r="B168" s="42" t="s">
        <v>465</v>
      </c>
      <c r="C168" s="125">
        <v>921.84</v>
      </c>
      <c r="D168" s="125">
        <v>874.39</v>
      </c>
      <c r="E168" s="117">
        <v>884.74</v>
      </c>
      <c r="F168" s="63">
        <f>SUM(C168:E168)/3</f>
        <v>893.65666666666675</v>
      </c>
      <c r="G168" s="108">
        <f t="shared" ref="G168:G181" si="98">F168*92</f>
        <v>82216.413333333345</v>
      </c>
      <c r="H168" s="117">
        <v>860.03</v>
      </c>
      <c r="I168" s="117">
        <v>866.27</v>
      </c>
      <c r="J168" s="117">
        <v>859.7</v>
      </c>
      <c r="K168" s="63">
        <f t="shared" ref="K168:K182" si="99">SUM(H168:J168)/3</f>
        <v>862</v>
      </c>
      <c r="L168" s="108">
        <f t="shared" ref="L168:L182" si="100">K168*92</f>
        <v>79304</v>
      </c>
      <c r="M168" s="117">
        <v>900.52</v>
      </c>
      <c r="N168" s="85">
        <v>908.54</v>
      </c>
      <c r="O168" s="85">
        <v>879.87</v>
      </c>
      <c r="P168" s="63">
        <f t="shared" ref="P168:P182" si="101">SUM(M168:O168)/3</f>
        <v>896.31</v>
      </c>
      <c r="Q168" s="108">
        <f t="shared" ref="Q168:Q182" si="102">P168*90</f>
        <v>80667.899999999994</v>
      </c>
      <c r="R168" s="117">
        <v>907.7</v>
      </c>
      <c r="S168" s="85">
        <v>898.9</v>
      </c>
      <c r="T168" s="135">
        <v>914.4</v>
      </c>
      <c r="U168" s="63">
        <f t="shared" ref="U168:U182" si="103">SUM(R168:T168)/3</f>
        <v>907</v>
      </c>
      <c r="V168" s="111">
        <f t="shared" ref="V168:V182" si="104">U168*91</f>
        <v>82537</v>
      </c>
      <c r="W168" s="64">
        <f t="shared" ref="W168:W182" si="105">SUM(C168+D168+E168+H168+I168+J168+M168+N168+O168+R168+S168+T168)/12</f>
        <v>889.74166666666667</v>
      </c>
      <c r="X168" s="65">
        <f t="shared" ref="X168:X181" si="106">W168*365</f>
        <v>324755.70833333331</v>
      </c>
    </row>
    <row r="169" spans="1:24" ht="15" customHeight="1" thickBot="1" x14ac:dyDescent="0.3">
      <c r="A169" s="49" t="s">
        <v>127</v>
      </c>
      <c r="B169" s="43" t="s">
        <v>430</v>
      </c>
      <c r="C169" s="126">
        <v>116.48</v>
      </c>
      <c r="D169" s="126">
        <v>77.03</v>
      </c>
      <c r="E169" s="118">
        <v>83</v>
      </c>
      <c r="F169" s="63">
        <f t="shared" ref="F169:F181" si="107">SUM(C169:E169)/3</f>
        <v>92.17</v>
      </c>
      <c r="G169" s="108">
        <f t="shared" si="98"/>
        <v>8479.64</v>
      </c>
      <c r="H169" s="118">
        <v>101.29</v>
      </c>
      <c r="I169" s="118">
        <v>107.5</v>
      </c>
      <c r="J169" s="118">
        <v>113.06</v>
      </c>
      <c r="K169" s="63">
        <f t="shared" si="99"/>
        <v>107.28333333333335</v>
      </c>
      <c r="L169" s="108">
        <f t="shared" si="100"/>
        <v>9870.0666666666675</v>
      </c>
      <c r="M169" s="118">
        <v>107.26</v>
      </c>
      <c r="N169" s="86">
        <v>111.32</v>
      </c>
      <c r="O169" s="86">
        <v>118.81</v>
      </c>
      <c r="P169" s="63">
        <f t="shared" si="101"/>
        <v>112.46333333333332</v>
      </c>
      <c r="Q169" s="108">
        <f t="shared" si="102"/>
        <v>10121.699999999999</v>
      </c>
      <c r="R169" s="118">
        <v>120.23</v>
      </c>
      <c r="S169" s="86">
        <v>113.35</v>
      </c>
      <c r="T169" s="89">
        <v>130.4</v>
      </c>
      <c r="U169" s="63">
        <f t="shared" si="103"/>
        <v>121.32666666666667</v>
      </c>
      <c r="V169" s="111">
        <f t="shared" si="104"/>
        <v>11040.726666666667</v>
      </c>
      <c r="W169" s="64">
        <f t="shared" si="105"/>
        <v>108.31083333333333</v>
      </c>
      <c r="X169" s="65">
        <f t="shared" si="106"/>
        <v>39533.45416666667</v>
      </c>
    </row>
    <row r="170" spans="1:24" ht="15" customHeight="1" thickBot="1" x14ac:dyDescent="0.3">
      <c r="A170" s="50" t="s">
        <v>319</v>
      </c>
      <c r="B170" s="44" t="s">
        <v>318</v>
      </c>
      <c r="C170" s="4">
        <v>308.89999999999998</v>
      </c>
      <c r="D170" s="4">
        <v>302.10000000000002</v>
      </c>
      <c r="E170" s="3">
        <v>297.73</v>
      </c>
      <c r="F170" s="63">
        <f t="shared" si="107"/>
        <v>302.91000000000003</v>
      </c>
      <c r="G170" s="108">
        <f t="shared" si="98"/>
        <v>27867.72</v>
      </c>
      <c r="H170" s="3">
        <v>301.39</v>
      </c>
      <c r="I170" s="3">
        <v>290.23</v>
      </c>
      <c r="J170" s="3">
        <v>270.68</v>
      </c>
      <c r="K170" s="63">
        <f t="shared" si="99"/>
        <v>287.43333333333334</v>
      </c>
      <c r="L170" s="108">
        <f t="shared" si="100"/>
        <v>26443.866666666669</v>
      </c>
      <c r="M170" s="3">
        <v>283.64999999999998</v>
      </c>
      <c r="N170" s="87">
        <v>273.14</v>
      </c>
      <c r="O170" s="87">
        <v>273.32</v>
      </c>
      <c r="P170" s="63">
        <f t="shared" si="101"/>
        <v>276.70333333333332</v>
      </c>
      <c r="Q170" s="108">
        <f t="shared" si="102"/>
        <v>24903.3</v>
      </c>
      <c r="R170" s="3">
        <v>257.87</v>
      </c>
      <c r="S170" s="87">
        <v>281.45</v>
      </c>
      <c r="T170" s="90">
        <v>274.63</v>
      </c>
      <c r="U170" s="63">
        <f t="shared" si="103"/>
        <v>271.31666666666666</v>
      </c>
      <c r="V170" s="111">
        <f t="shared" si="104"/>
        <v>24689.816666666666</v>
      </c>
      <c r="W170" s="64">
        <f t="shared" si="105"/>
        <v>284.59083333333331</v>
      </c>
      <c r="X170" s="65">
        <f t="shared" si="106"/>
        <v>103875.65416666666</v>
      </c>
    </row>
    <row r="171" spans="1:24" ht="15" customHeight="1" thickBot="1" x14ac:dyDescent="0.3">
      <c r="A171" s="50" t="s">
        <v>436</v>
      </c>
      <c r="B171" s="44" t="s">
        <v>466</v>
      </c>
      <c r="C171" s="4">
        <v>36.1</v>
      </c>
      <c r="D171" s="4">
        <v>228.1</v>
      </c>
      <c r="E171" s="3">
        <v>261.02999999999997</v>
      </c>
      <c r="F171" s="63">
        <f>SUM(C171:E171)/3</f>
        <v>175.07666666666668</v>
      </c>
      <c r="G171" s="108">
        <f>F171*92</f>
        <v>16107.053333333335</v>
      </c>
      <c r="H171" s="3">
        <v>276.70999999999998</v>
      </c>
      <c r="I171" s="3">
        <v>398.07</v>
      </c>
      <c r="J171" s="3">
        <v>416.32</v>
      </c>
      <c r="K171" s="63">
        <f>SUM(H171:J171)/3</f>
        <v>363.7</v>
      </c>
      <c r="L171" s="108">
        <f>K171*92</f>
        <v>33460.400000000001</v>
      </c>
      <c r="M171" s="3">
        <v>421.61</v>
      </c>
      <c r="N171" s="87">
        <v>467.07</v>
      </c>
      <c r="O171" s="87">
        <v>546.48</v>
      </c>
      <c r="P171" s="63">
        <f>SUM(M171:O171)/3</f>
        <v>478.38666666666671</v>
      </c>
      <c r="Q171" s="108">
        <f>P171*90</f>
        <v>43054.8</v>
      </c>
      <c r="R171" s="3">
        <v>567.1</v>
      </c>
      <c r="S171" s="87">
        <v>698.55</v>
      </c>
      <c r="T171" s="90">
        <v>845.8</v>
      </c>
      <c r="U171" s="63">
        <f>SUM(R171:T171)/3</f>
        <v>703.81666666666661</v>
      </c>
      <c r="V171" s="111">
        <f>U171*91</f>
        <v>64047.316666666658</v>
      </c>
      <c r="W171" s="64">
        <f>SUM(C171+D171+E171+H171+I171+J171+M171+N171+O171+R171+S171+T171)/12</f>
        <v>430.24500000000006</v>
      </c>
      <c r="X171" s="65">
        <f>W171*365</f>
        <v>157039.42500000002</v>
      </c>
    </row>
    <row r="172" spans="1:24" ht="15" customHeight="1" thickBot="1" x14ac:dyDescent="0.3">
      <c r="A172" s="51" t="s">
        <v>259</v>
      </c>
      <c r="B172" s="44" t="s">
        <v>283</v>
      </c>
      <c r="C172" s="4">
        <v>419.77</v>
      </c>
      <c r="D172" s="4">
        <v>421.19</v>
      </c>
      <c r="E172" s="3">
        <v>425.03</v>
      </c>
      <c r="F172" s="63">
        <f t="shared" si="107"/>
        <v>421.99666666666667</v>
      </c>
      <c r="G172" s="108">
        <f t="shared" si="98"/>
        <v>38823.693333333336</v>
      </c>
      <c r="H172" s="3">
        <v>409.9</v>
      </c>
      <c r="I172" s="3">
        <v>420.37</v>
      </c>
      <c r="J172" s="3">
        <v>406.81</v>
      </c>
      <c r="K172" s="63">
        <f t="shared" si="99"/>
        <v>412.35999999999996</v>
      </c>
      <c r="L172" s="108">
        <f t="shared" si="100"/>
        <v>37937.119999999995</v>
      </c>
      <c r="M172" s="3">
        <v>416.35</v>
      </c>
      <c r="N172" s="87">
        <v>418.61</v>
      </c>
      <c r="O172" s="87">
        <v>407.13</v>
      </c>
      <c r="P172" s="63">
        <f t="shared" si="101"/>
        <v>414.03000000000003</v>
      </c>
      <c r="Q172" s="108">
        <f t="shared" si="102"/>
        <v>37262.700000000004</v>
      </c>
      <c r="R172" s="3">
        <v>417.63</v>
      </c>
      <c r="S172" s="87">
        <v>421.81</v>
      </c>
      <c r="T172" s="90">
        <v>407.9</v>
      </c>
      <c r="U172" s="63">
        <f t="shared" si="103"/>
        <v>415.78000000000003</v>
      </c>
      <c r="V172" s="111">
        <f t="shared" si="104"/>
        <v>37835.980000000003</v>
      </c>
      <c r="W172" s="64">
        <f t="shared" si="105"/>
        <v>416.04166666666669</v>
      </c>
      <c r="X172" s="65">
        <f t="shared" si="106"/>
        <v>151855.20833333334</v>
      </c>
    </row>
    <row r="173" spans="1:24" ht="15" customHeight="1" thickBot="1" x14ac:dyDescent="0.3">
      <c r="A173" s="50" t="s">
        <v>15</v>
      </c>
      <c r="B173" s="44" t="s">
        <v>252</v>
      </c>
      <c r="C173" s="4">
        <v>70.94</v>
      </c>
      <c r="D173" s="4">
        <v>71.900000000000006</v>
      </c>
      <c r="E173" s="3">
        <v>68.069999999999993</v>
      </c>
      <c r="F173" s="63">
        <f t="shared" si="107"/>
        <v>70.303333333333327</v>
      </c>
      <c r="G173" s="108">
        <f t="shared" si="98"/>
        <v>6467.9066666666658</v>
      </c>
      <c r="H173" s="3">
        <v>69.39</v>
      </c>
      <c r="I173" s="3">
        <v>69.3</v>
      </c>
      <c r="J173" s="3">
        <v>59.71</v>
      </c>
      <c r="K173" s="63">
        <f t="shared" si="99"/>
        <v>66.13333333333334</v>
      </c>
      <c r="L173" s="108">
        <f t="shared" si="100"/>
        <v>6084.2666666666673</v>
      </c>
      <c r="M173" s="3">
        <v>68.97</v>
      </c>
      <c r="N173" s="87">
        <v>70.709999999999994</v>
      </c>
      <c r="O173" s="87">
        <v>68.349999999999994</v>
      </c>
      <c r="P173" s="63">
        <f t="shared" si="101"/>
        <v>69.343333333333334</v>
      </c>
      <c r="Q173" s="108">
        <f t="shared" si="102"/>
        <v>6240.9</v>
      </c>
      <c r="R173" s="3">
        <v>66.930000000000007</v>
      </c>
      <c r="S173" s="87">
        <v>59.87</v>
      </c>
      <c r="T173" s="90">
        <v>63.13</v>
      </c>
      <c r="U173" s="63">
        <f t="shared" si="103"/>
        <v>63.31</v>
      </c>
      <c r="V173" s="111">
        <f t="shared" si="104"/>
        <v>5761.21</v>
      </c>
      <c r="W173" s="64">
        <f t="shared" si="105"/>
        <v>67.272499999999994</v>
      </c>
      <c r="X173" s="65">
        <f t="shared" si="106"/>
        <v>24554.462499999998</v>
      </c>
    </row>
    <row r="174" spans="1:24" ht="15" customHeight="1" thickBot="1" x14ac:dyDescent="0.3">
      <c r="A174" s="50" t="s">
        <v>16</v>
      </c>
      <c r="B174" s="44" t="s">
        <v>467</v>
      </c>
      <c r="C174" s="4">
        <v>235.45</v>
      </c>
      <c r="D174" s="4">
        <v>243.87</v>
      </c>
      <c r="E174" s="3">
        <v>244.83</v>
      </c>
      <c r="F174" s="63">
        <f t="shared" si="107"/>
        <v>241.38333333333333</v>
      </c>
      <c r="G174" s="108">
        <f t="shared" si="98"/>
        <v>22207.266666666666</v>
      </c>
      <c r="H174" s="3">
        <v>252.06</v>
      </c>
      <c r="I174" s="3">
        <v>237.4</v>
      </c>
      <c r="J174" s="3">
        <v>227.13</v>
      </c>
      <c r="K174" s="63">
        <f t="shared" si="99"/>
        <v>238.86333333333334</v>
      </c>
      <c r="L174" s="108">
        <f t="shared" si="100"/>
        <v>21975.426666666666</v>
      </c>
      <c r="M174" s="3">
        <v>223.06</v>
      </c>
      <c r="N174" s="87">
        <v>247.18</v>
      </c>
      <c r="O174" s="87">
        <v>247.45</v>
      </c>
      <c r="P174" s="63">
        <f t="shared" si="101"/>
        <v>239.23000000000002</v>
      </c>
      <c r="Q174" s="108">
        <f t="shared" si="102"/>
        <v>21530.7</v>
      </c>
      <c r="R174" s="3">
        <v>247.7</v>
      </c>
      <c r="S174" s="87">
        <v>240.77</v>
      </c>
      <c r="T174" s="90">
        <v>232.57</v>
      </c>
      <c r="U174" s="63">
        <f t="shared" si="103"/>
        <v>240.34666666666666</v>
      </c>
      <c r="V174" s="111">
        <f t="shared" si="104"/>
        <v>21871.546666666665</v>
      </c>
      <c r="W174" s="64">
        <f t="shared" si="105"/>
        <v>239.95583333333335</v>
      </c>
      <c r="X174" s="65">
        <f t="shared" si="106"/>
        <v>87583.879166666666</v>
      </c>
    </row>
    <row r="175" spans="1:24" ht="15" customHeight="1" thickBot="1" x14ac:dyDescent="0.3">
      <c r="A175" s="50" t="s">
        <v>129</v>
      </c>
      <c r="B175" s="44" t="s">
        <v>285</v>
      </c>
      <c r="C175" s="4">
        <v>98.45</v>
      </c>
      <c r="D175" s="4">
        <v>100.77</v>
      </c>
      <c r="E175" s="3">
        <v>100.23</v>
      </c>
      <c r="F175" s="63">
        <f t="shared" si="107"/>
        <v>99.816666666666663</v>
      </c>
      <c r="G175" s="108">
        <f t="shared" si="98"/>
        <v>9183.1333333333332</v>
      </c>
      <c r="H175" s="3">
        <v>103.61</v>
      </c>
      <c r="I175" s="3">
        <v>100.2</v>
      </c>
      <c r="J175" s="3">
        <v>97.06</v>
      </c>
      <c r="K175" s="63">
        <f t="shared" si="99"/>
        <v>100.29</v>
      </c>
      <c r="L175" s="108">
        <f t="shared" si="100"/>
        <v>9226.68</v>
      </c>
      <c r="M175" s="3">
        <v>102.94</v>
      </c>
      <c r="N175" s="87">
        <v>101.29</v>
      </c>
      <c r="O175" s="87">
        <v>103.16</v>
      </c>
      <c r="P175" s="63">
        <f t="shared" si="101"/>
        <v>102.46333333333332</v>
      </c>
      <c r="Q175" s="108">
        <f t="shared" si="102"/>
        <v>9221.6999999999989</v>
      </c>
      <c r="R175" s="3">
        <v>103.87</v>
      </c>
      <c r="S175" s="87">
        <v>103.29</v>
      </c>
      <c r="T175" s="90">
        <v>100.5</v>
      </c>
      <c r="U175" s="63">
        <f t="shared" si="103"/>
        <v>102.55333333333334</v>
      </c>
      <c r="V175" s="111">
        <f t="shared" si="104"/>
        <v>9332.3533333333344</v>
      </c>
      <c r="W175" s="64">
        <f t="shared" si="105"/>
        <v>101.28083333333332</v>
      </c>
      <c r="X175" s="65">
        <f t="shared" si="106"/>
        <v>36967.504166666658</v>
      </c>
    </row>
    <row r="176" spans="1:24" ht="15" customHeight="1" thickBot="1" x14ac:dyDescent="0.3">
      <c r="A176" s="51" t="s">
        <v>260</v>
      </c>
      <c r="B176" s="44" t="s">
        <v>292</v>
      </c>
      <c r="C176" s="4">
        <f>328.97+174.97</f>
        <v>503.94000000000005</v>
      </c>
      <c r="D176" s="4">
        <f>300.84+172.35</f>
        <v>473.18999999999994</v>
      </c>
      <c r="E176" s="3">
        <f>325.9+160.53</f>
        <v>486.42999999999995</v>
      </c>
      <c r="F176" s="63">
        <f t="shared" si="107"/>
        <v>487.8533333333333</v>
      </c>
      <c r="G176" s="108">
        <f t="shared" si="98"/>
        <v>44882.506666666661</v>
      </c>
      <c r="H176" s="3">
        <f>327.9+172.52</f>
        <v>500.41999999999996</v>
      </c>
      <c r="I176" s="3">
        <f>328.97+173.13</f>
        <v>502.1</v>
      </c>
      <c r="J176" s="3">
        <f>301.65+174.97</f>
        <v>476.62</v>
      </c>
      <c r="K176" s="63">
        <f t="shared" si="99"/>
        <v>493.04666666666662</v>
      </c>
      <c r="L176" s="108">
        <f t="shared" si="100"/>
        <v>45360.293333333328</v>
      </c>
      <c r="M176" s="3">
        <f>300.45+169.35</f>
        <v>469.79999999999995</v>
      </c>
      <c r="N176" s="87">
        <f>325.93+174.54</f>
        <v>500.47</v>
      </c>
      <c r="O176" s="87">
        <f>324.74+174.1</f>
        <v>498.84000000000003</v>
      </c>
      <c r="P176" s="63">
        <f t="shared" si="101"/>
        <v>489.70333333333338</v>
      </c>
      <c r="Q176" s="108">
        <f t="shared" si="102"/>
        <v>44073.3</v>
      </c>
      <c r="R176" s="3">
        <f>330.73+175.57</f>
        <v>506.3</v>
      </c>
      <c r="S176" s="87">
        <f>324.77+175.39</f>
        <v>500.15999999999997</v>
      </c>
      <c r="T176" s="90">
        <f>323.73+175.87</f>
        <v>499.6</v>
      </c>
      <c r="U176" s="63">
        <f t="shared" si="103"/>
        <v>502.02</v>
      </c>
      <c r="V176" s="111">
        <f t="shared" si="104"/>
        <v>45683.82</v>
      </c>
      <c r="W176" s="64">
        <f t="shared" si="105"/>
        <v>493.15583333333342</v>
      </c>
      <c r="X176" s="65">
        <f t="shared" si="106"/>
        <v>180001.87916666671</v>
      </c>
    </row>
    <row r="177" spans="1:24" ht="15" customHeight="1" thickBot="1" x14ac:dyDescent="0.3">
      <c r="A177" s="50" t="s">
        <v>138</v>
      </c>
      <c r="B177" s="121" t="s">
        <v>286</v>
      </c>
      <c r="C177" s="4">
        <v>48.97</v>
      </c>
      <c r="D177" s="4">
        <v>13.94</v>
      </c>
      <c r="E177" s="3">
        <v>14</v>
      </c>
      <c r="F177" s="63">
        <f t="shared" si="107"/>
        <v>25.636666666666667</v>
      </c>
      <c r="G177" s="108">
        <f t="shared" si="98"/>
        <v>2358.5733333333333</v>
      </c>
      <c r="H177" s="3">
        <v>17.350000000000001</v>
      </c>
      <c r="I177" s="3">
        <v>19.87</v>
      </c>
      <c r="J177" s="3">
        <v>17.55</v>
      </c>
      <c r="K177" s="63">
        <f t="shared" si="99"/>
        <v>18.256666666666664</v>
      </c>
      <c r="L177" s="108">
        <f t="shared" si="100"/>
        <v>1679.613333333333</v>
      </c>
      <c r="M177" s="3">
        <v>76.650000000000006</v>
      </c>
      <c r="N177" s="87">
        <v>100.79</v>
      </c>
      <c r="O177" s="87">
        <v>124.9</v>
      </c>
      <c r="P177" s="63">
        <f t="shared" si="101"/>
        <v>100.78000000000002</v>
      </c>
      <c r="Q177" s="108">
        <f t="shared" si="102"/>
        <v>9070.2000000000007</v>
      </c>
      <c r="R177" s="3">
        <v>125.27</v>
      </c>
      <c r="S177" s="87">
        <v>120.55</v>
      </c>
      <c r="T177" s="90">
        <v>112.23</v>
      </c>
      <c r="U177" s="63">
        <f t="shared" si="103"/>
        <v>119.35000000000001</v>
      </c>
      <c r="V177" s="111">
        <f t="shared" si="104"/>
        <v>10860.85</v>
      </c>
      <c r="W177" s="64">
        <f t="shared" si="105"/>
        <v>66.005833333333328</v>
      </c>
      <c r="X177" s="65">
        <f t="shared" si="106"/>
        <v>24092.129166666666</v>
      </c>
    </row>
    <row r="178" spans="1:24" ht="15" customHeight="1" thickBot="1" x14ac:dyDescent="0.3">
      <c r="A178" s="49" t="s">
        <v>19</v>
      </c>
      <c r="B178" s="43" t="s">
        <v>287</v>
      </c>
      <c r="C178" s="126">
        <v>500.32</v>
      </c>
      <c r="D178" s="126">
        <v>421.61</v>
      </c>
      <c r="E178" s="118">
        <v>409.57</v>
      </c>
      <c r="F178" s="63">
        <f t="shared" si="107"/>
        <v>443.83333333333331</v>
      </c>
      <c r="G178" s="108">
        <f t="shared" si="98"/>
        <v>40832.666666666664</v>
      </c>
      <c r="H178" s="118">
        <v>408</v>
      </c>
      <c r="I178" s="3">
        <v>306.5</v>
      </c>
      <c r="J178" s="118">
        <v>302.55</v>
      </c>
      <c r="K178" s="63">
        <f t="shared" si="99"/>
        <v>339.01666666666665</v>
      </c>
      <c r="L178" s="111">
        <f t="shared" si="100"/>
        <v>31189.533333333333</v>
      </c>
      <c r="M178" s="3">
        <v>300.87</v>
      </c>
      <c r="N178" s="86">
        <v>298.20999999999998</v>
      </c>
      <c r="O178" s="86">
        <v>302.68</v>
      </c>
      <c r="P178" s="63">
        <f t="shared" si="101"/>
        <v>300.58666666666664</v>
      </c>
      <c r="Q178" s="108">
        <f t="shared" si="102"/>
        <v>27052.799999999999</v>
      </c>
      <c r="R178" s="3">
        <v>304.39999999999998</v>
      </c>
      <c r="S178" s="86">
        <v>303.70999999999998</v>
      </c>
      <c r="T178" s="89">
        <v>301.60000000000002</v>
      </c>
      <c r="U178" s="63">
        <f t="shared" si="103"/>
        <v>303.23666666666662</v>
      </c>
      <c r="V178" s="111">
        <f t="shared" si="104"/>
        <v>27594.536666666663</v>
      </c>
      <c r="W178" s="64">
        <f t="shared" si="105"/>
        <v>346.66833333333335</v>
      </c>
      <c r="X178" s="65">
        <f t="shared" si="106"/>
        <v>126533.94166666668</v>
      </c>
    </row>
    <row r="179" spans="1:24" ht="15" customHeight="1" thickBot="1" x14ac:dyDescent="0.3">
      <c r="A179" s="51" t="s">
        <v>431</v>
      </c>
      <c r="B179" s="44" t="s">
        <v>432</v>
      </c>
      <c r="C179" s="4">
        <f>329.94+107.1</f>
        <v>437.03999999999996</v>
      </c>
      <c r="D179" s="4">
        <f>353.94+109.42</f>
        <v>463.36</v>
      </c>
      <c r="E179" s="3">
        <f>346+122.97</f>
        <v>468.97</v>
      </c>
      <c r="F179" s="63">
        <f t="shared" si="107"/>
        <v>456.45666666666665</v>
      </c>
      <c r="G179" s="108">
        <f t="shared" si="98"/>
        <v>41994.013333333329</v>
      </c>
      <c r="H179" s="3">
        <f>339.48+114.45</f>
        <v>453.93</v>
      </c>
      <c r="I179" s="3">
        <f>335.7+125.53</f>
        <v>461.23</v>
      </c>
      <c r="J179" s="3">
        <f>300.06+116.03</f>
        <v>416.09000000000003</v>
      </c>
      <c r="K179" s="63">
        <f t="shared" si="99"/>
        <v>443.75</v>
      </c>
      <c r="L179" s="108">
        <f t="shared" si="100"/>
        <v>40825</v>
      </c>
      <c r="M179" s="3">
        <f>267.68+122.45</f>
        <v>390.13</v>
      </c>
      <c r="N179" s="87">
        <f>289.32+123.54</f>
        <v>412.86</v>
      </c>
      <c r="O179" s="87">
        <f>310.48+121.81</f>
        <v>432.29</v>
      </c>
      <c r="P179" s="63">
        <f t="shared" si="101"/>
        <v>411.76</v>
      </c>
      <c r="Q179" s="108">
        <f t="shared" si="102"/>
        <v>37058.400000000001</v>
      </c>
      <c r="R179" s="3">
        <f>318.03+118.73</f>
        <v>436.76</v>
      </c>
      <c r="S179" s="87">
        <f>314.26+110.03</f>
        <v>424.28999999999996</v>
      </c>
      <c r="T179" s="90">
        <f>322.6+127.73</f>
        <v>450.33000000000004</v>
      </c>
      <c r="U179" s="63">
        <f t="shared" si="103"/>
        <v>437.12666666666672</v>
      </c>
      <c r="V179" s="111">
        <f t="shared" si="104"/>
        <v>39778.526666666672</v>
      </c>
      <c r="W179" s="64">
        <f t="shared" si="105"/>
        <v>437.27333333333331</v>
      </c>
      <c r="X179" s="65">
        <f t="shared" si="106"/>
        <v>159604.76666666666</v>
      </c>
    </row>
    <row r="180" spans="1:24" ht="15" customHeight="1" thickBot="1" x14ac:dyDescent="0.3">
      <c r="A180" s="50" t="s">
        <v>130</v>
      </c>
      <c r="B180" s="44" t="s">
        <v>468</v>
      </c>
      <c r="C180" s="4">
        <v>163.44999999999999</v>
      </c>
      <c r="D180" s="4">
        <v>178.06</v>
      </c>
      <c r="E180" s="3">
        <v>188.23</v>
      </c>
      <c r="F180" s="63">
        <f t="shared" si="107"/>
        <v>176.58</v>
      </c>
      <c r="G180" s="108">
        <f t="shared" si="98"/>
        <v>16245.36</v>
      </c>
      <c r="H180" s="3">
        <v>193.58</v>
      </c>
      <c r="I180" s="3">
        <v>206.73</v>
      </c>
      <c r="J180" s="3">
        <v>169.58</v>
      </c>
      <c r="K180" s="63">
        <f t="shared" si="99"/>
        <v>189.96333333333334</v>
      </c>
      <c r="L180" s="108">
        <f t="shared" si="100"/>
        <v>17476.626666666667</v>
      </c>
      <c r="M180" s="3">
        <v>184.06</v>
      </c>
      <c r="N180" s="87">
        <v>189.36</v>
      </c>
      <c r="O180" s="87">
        <v>187</v>
      </c>
      <c r="P180" s="63">
        <f t="shared" si="101"/>
        <v>186.8066666666667</v>
      </c>
      <c r="Q180" s="108">
        <f t="shared" si="102"/>
        <v>16812.600000000002</v>
      </c>
      <c r="R180" s="3">
        <v>179.23</v>
      </c>
      <c r="S180" s="87">
        <v>189.97</v>
      </c>
      <c r="T180" s="90">
        <v>186.63</v>
      </c>
      <c r="U180" s="63">
        <f t="shared" si="103"/>
        <v>185.27666666666664</v>
      </c>
      <c r="V180" s="111">
        <f t="shared" si="104"/>
        <v>16860.176666666666</v>
      </c>
      <c r="W180" s="64">
        <f t="shared" si="105"/>
        <v>184.65666666666667</v>
      </c>
      <c r="X180" s="65">
        <f t="shared" si="106"/>
        <v>67399.683333333334</v>
      </c>
    </row>
    <row r="181" spans="1:24" ht="15" customHeight="1" thickBot="1" x14ac:dyDescent="0.3">
      <c r="A181" s="50" t="s">
        <v>131</v>
      </c>
      <c r="B181" s="34"/>
      <c r="C181" s="4">
        <v>0</v>
      </c>
      <c r="D181" s="4">
        <v>0</v>
      </c>
      <c r="E181" s="18"/>
      <c r="F181" s="67">
        <f t="shared" si="107"/>
        <v>0</v>
      </c>
      <c r="G181" s="108">
        <f t="shared" si="98"/>
        <v>0</v>
      </c>
      <c r="H181" s="18"/>
      <c r="I181" s="18"/>
      <c r="J181" s="18"/>
      <c r="K181" s="67">
        <f t="shared" si="99"/>
        <v>0</v>
      </c>
      <c r="L181" s="108">
        <f t="shared" si="100"/>
        <v>0</v>
      </c>
      <c r="M181" s="18"/>
      <c r="N181" s="4"/>
      <c r="O181" s="87"/>
      <c r="P181" s="67">
        <f t="shared" si="101"/>
        <v>0</v>
      </c>
      <c r="Q181" s="108">
        <f t="shared" si="102"/>
        <v>0</v>
      </c>
      <c r="R181" s="3"/>
      <c r="S181" s="3"/>
      <c r="T181" s="4"/>
      <c r="U181" s="67">
        <f t="shared" si="103"/>
        <v>0</v>
      </c>
      <c r="V181" s="112">
        <f t="shared" si="104"/>
        <v>0</v>
      </c>
      <c r="W181" s="137">
        <f t="shared" si="105"/>
        <v>0</v>
      </c>
      <c r="X181" s="65">
        <f t="shared" si="106"/>
        <v>0</v>
      </c>
    </row>
    <row r="182" spans="1:24" ht="15" customHeight="1" thickBot="1" x14ac:dyDescent="0.3">
      <c r="A182" s="46" t="s">
        <v>139</v>
      </c>
      <c r="B182" s="35"/>
      <c r="C182" s="80">
        <f>SUM(C168:C181)</f>
        <v>3861.6499999999992</v>
      </c>
      <c r="D182" s="80">
        <f>SUM(D168:D181)</f>
        <v>3869.51</v>
      </c>
      <c r="E182" s="80">
        <f>SUM(E168:E181)</f>
        <v>3931.86</v>
      </c>
      <c r="F182" s="68">
        <f>SUM(C182:E182)/3</f>
        <v>3887.6733333333336</v>
      </c>
      <c r="G182" s="108">
        <f>F182*92</f>
        <v>357665.94666666671</v>
      </c>
      <c r="H182" s="94">
        <f>SUM(H168:H181)</f>
        <v>3947.6600000000003</v>
      </c>
      <c r="I182" s="80">
        <f>SUM(I168:I181)</f>
        <v>3985.77</v>
      </c>
      <c r="J182" s="80">
        <f>SUM(J168:J181)</f>
        <v>3832.8600000000006</v>
      </c>
      <c r="K182" s="68">
        <f t="shared" si="99"/>
        <v>3922.0966666666668</v>
      </c>
      <c r="L182" s="119">
        <f t="shared" si="100"/>
        <v>360832.89333333337</v>
      </c>
      <c r="M182" s="9">
        <f>SUM(M168:M181)</f>
        <v>3945.87</v>
      </c>
      <c r="N182" s="80">
        <f>SUM(N168:N181)</f>
        <v>4099.55</v>
      </c>
      <c r="O182" s="80">
        <f>SUM(O168:O181)</f>
        <v>4190.28</v>
      </c>
      <c r="P182" s="68">
        <f t="shared" si="101"/>
        <v>4078.5666666666671</v>
      </c>
      <c r="Q182" s="119">
        <f t="shared" si="102"/>
        <v>367071.00000000006</v>
      </c>
      <c r="R182" s="94">
        <f>SUM(R168:R181)</f>
        <v>4240.99</v>
      </c>
      <c r="S182" s="80">
        <f>SUM(S168:S181)</f>
        <v>4356.67</v>
      </c>
      <c r="T182" s="81">
        <f>SUM(T168:T181)</f>
        <v>4519.72</v>
      </c>
      <c r="U182" s="68">
        <f t="shared" si="103"/>
        <v>4372.46</v>
      </c>
      <c r="V182" s="120">
        <f t="shared" si="104"/>
        <v>397893.86</v>
      </c>
      <c r="W182" s="138">
        <f t="shared" si="105"/>
        <v>4065.1991666666668</v>
      </c>
      <c r="X182" s="69">
        <f>SUM(X168:X181)</f>
        <v>1483797.6958333333</v>
      </c>
    </row>
    <row r="183" spans="1:24" ht="15" customHeight="1" thickBot="1" x14ac:dyDescent="0.3">
      <c r="A183" s="46" t="s">
        <v>140</v>
      </c>
      <c r="B183" s="35"/>
      <c r="C183" s="70"/>
      <c r="D183" s="70"/>
      <c r="E183" s="71"/>
      <c r="F183" s="98"/>
      <c r="G183" s="98"/>
      <c r="H183" s="72"/>
      <c r="I183" s="70" t="s">
        <v>236</v>
      </c>
      <c r="J183" s="71"/>
      <c r="K183" s="97"/>
      <c r="L183" s="97"/>
      <c r="M183" s="72"/>
      <c r="N183" s="70"/>
      <c r="O183" s="71"/>
      <c r="P183" s="97"/>
      <c r="Q183" s="97"/>
      <c r="R183" s="72"/>
      <c r="S183" s="70"/>
      <c r="T183" s="71"/>
      <c r="U183" s="71"/>
      <c r="V183" s="70"/>
      <c r="W183" s="96"/>
      <c r="X183" s="69" t="s">
        <v>0</v>
      </c>
    </row>
    <row r="184" spans="1:24" ht="15" customHeight="1" thickBot="1" x14ac:dyDescent="0.3">
      <c r="A184" s="580" t="s">
        <v>132</v>
      </c>
      <c r="B184" s="581" t="s">
        <v>469</v>
      </c>
      <c r="C184" s="582">
        <v>750.68</v>
      </c>
      <c r="D184" s="582">
        <v>754.87</v>
      </c>
      <c r="E184" s="582">
        <v>733.8</v>
      </c>
      <c r="F184" s="583">
        <f t="shared" ref="F184:F190" si="108">SUM(C184:E184)/3</f>
        <v>746.44999999999993</v>
      </c>
      <c r="G184" s="584">
        <f t="shared" ref="G184:G190" si="109">F184*92</f>
        <v>68673.399999999994</v>
      </c>
      <c r="H184" s="582">
        <v>732.16</v>
      </c>
      <c r="I184" s="582">
        <v>769.5</v>
      </c>
      <c r="J184" s="582">
        <v>753</v>
      </c>
      <c r="K184" s="583">
        <f t="shared" ref="K184:K191" si="110">SUM(H184:J184)/3</f>
        <v>751.55333333333328</v>
      </c>
      <c r="L184" s="584">
        <f t="shared" ref="L184:L190" si="111">K184*92</f>
        <v>69142.906666666662</v>
      </c>
      <c r="M184" s="582">
        <v>762.26</v>
      </c>
      <c r="N184" s="585">
        <v>778.68</v>
      </c>
      <c r="O184" s="585">
        <v>781.61</v>
      </c>
      <c r="P184" s="583">
        <f t="shared" ref="P184:P191" si="112">SUM(M184:O184)/3</f>
        <v>774.18333333333339</v>
      </c>
      <c r="Q184" s="584">
        <f t="shared" ref="Q184:Q190" si="113">P184*90</f>
        <v>69676.5</v>
      </c>
      <c r="R184" s="582">
        <v>765.3</v>
      </c>
      <c r="S184" s="585">
        <v>756.16</v>
      </c>
      <c r="T184" s="586">
        <v>771.93</v>
      </c>
      <c r="U184" s="583">
        <f t="shared" ref="U184:U191" si="114">SUM(R184:T184)/3</f>
        <v>764.46333333333325</v>
      </c>
      <c r="V184" s="587">
        <f t="shared" ref="V184:V190" si="115">U184*91</f>
        <v>69566.16333333333</v>
      </c>
      <c r="W184" s="588">
        <f t="shared" ref="W184:W189" si="116">SUM(C184+D184+E184+H184+I184+J184+M184+N184+O184+R184+S184+T184)/12</f>
        <v>759.16250000000002</v>
      </c>
      <c r="X184" s="589">
        <f t="shared" ref="X184:X189" si="117">W184*365</f>
        <v>277094.3125</v>
      </c>
    </row>
    <row r="185" spans="1:24" ht="15" customHeight="1" thickBot="1" x14ac:dyDescent="0.3">
      <c r="A185" s="50" t="s">
        <v>133</v>
      </c>
      <c r="B185" s="496">
        <v>35</v>
      </c>
      <c r="C185" s="5">
        <f>5+3.03</f>
        <v>8.0299999999999994</v>
      </c>
      <c r="D185" s="5">
        <f>1.55+5</f>
        <v>6.55</v>
      </c>
      <c r="E185" s="5">
        <f>1.27+5</f>
        <v>6.27</v>
      </c>
      <c r="F185" s="63">
        <f t="shared" si="108"/>
        <v>6.9499999999999993</v>
      </c>
      <c r="G185" s="108">
        <f t="shared" si="109"/>
        <v>639.4</v>
      </c>
      <c r="H185" s="5">
        <f>0.84+5.48</f>
        <v>6.32</v>
      </c>
      <c r="I185" s="5">
        <v>4.3</v>
      </c>
      <c r="J185" s="5">
        <v>4</v>
      </c>
      <c r="K185" s="63">
        <f t="shared" si="110"/>
        <v>4.873333333333334</v>
      </c>
      <c r="L185" s="108">
        <f t="shared" si="111"/>
        <v>448.34666666666675</v>
      </c>
      <c r="M185" s="5">
        <v>4</v>
      </c>
      <c r="N185" s="75">
        <f>0.39+4.14</f>
        <v>4.5299999999999994</v>
      </c>
      <c r="O185" s="75">
        <v>4.32</v>
      </c>
      <c r="P185" s="63">
        <f t="shared" si="112"/>
        <v>4.2833333333333332</v>
      </c>
      <c r="Q185" s="108">
        <f t="shared" si="113"/>
        <v>385.5</v>
      </c>
      <c r="R185" s="5">
        <v>5.2</v>
      </c>
      <c r="S185" s="75">
        <v>7.03</v>
      </c>
      <c r="T185" s="76">
        <v>9</v>
      </c>
      <c r="U185" s="63">
        <f t="shared" si="114"/>
        <v>7.0766666666666671</v>
      </c>
      <c r="V185" s="111">
        <f t="shared" si="115"/>
        <v>643.97666666666669</v>
      </c>
      <c r="W185" s="64">
        <f t="shared" si="116"/>
        <v>5.7958333333333343</v>
      </c>
      <c r="X185" s="66">
        <f t="shared" si="117"/>
        <v>2115.479166666667</v>
      </c>
    </row>
    <row r="186" spans="1:24" ht="15" customHeight="1" thickBot="1" x14ac:dyDescent="0.3">
      <c r="A186" s="50" t="s">
        <v>135</v>
      </c>
      <c r="B186" s="496">
        <v>26</v>
      </c>
      <c r="C186" s="5">
        <v>20</v>
      </c>
      <c r="D186" s="5">
        <v>19</v>
      </c>
      <c r="E186" s="5">
        <v>20</v>
      </c>
      <c r="F186" s="63">
        <f t="shared" si="108"/>
        <v>19.666666666666668</v>
      </c>
      <c r="G186" s="108">
        <f t="shared" si="109"/>
        <v>1809.3333333333335</v>
      </c>
      <c r="H186" s="5">
        <v>18</v>
      </c>
      <c r="I186" s="5">
        <v>18</v>
      </c>
      <c r="J186" s="5">
        <v>19</v>
      </c>
      <c r="K186" s="63">
        <f t="shared" si="110"/>
        <v>18.333333333333332</v>
      </c>
      <c r="L186" s="108">
        <f t="shared" si="111"/>
        <v>1686.6666666666665</v>
      </c>
      <c r="M186" s="5">
        <v>19</v>
      </c>
      <c r="N186" s="75">
        <v>16</v>
      </c>
      <c r="O186" s="75">
        <v>14</v>
      </c>
      <c r="P186" s="63">
        <f t="shared" si="112"/>
        <v>16.333333333333332</v>
      </c>
      <c r="Q186" s="108">
        <f t="shared" si="113"/>
        <v>1470</v>
      </c>
      <c r="R186" s="5">
        <v>12</v>
      </c>
      <c r="S186" s="75">
        <v>10</v>
      </c>
      <c r="T186" s="76">
        <v>12</v>
      </c>
      <c r="U186" s="63">
        <f t="shared" si="114"/>
        <v>11.333333333333334</v>
      </c>
      <c r="V186" s="111">
        <f t="shared" si="115"/>
        <v>1031.3333333333335</v>
      </c>
      <c r="W186" s="64">
        <f t="shared" si="116"/>
        <v>16.416666666666668</v>
      </c>
      <c r="X186" s="65">
        <f t="shared" si="117"/>
        <v>5992.0833333333339</v>
      </c>
    </row>
    <row r="187" spans="1:24" ht="15" customHeight="1" thickBot="1" x14ac:dyDescent="0.3">
      <c r="A187" s="50" t="s">
        <v>134</v>
      </c>
      <c r="B187" s="496" t="s">
        <v>434</v>
      </c>
      <c r="C187" s="5">
        <v>328</v>
      </c>
      <c r="D187" s="5">
        <v>329</v>
      </c>
      <c r="E187" s="5">
        <v>344</v>
      </c>
      <c r="F187" s="63">
        <f t="shared" si="108"/>
        <v>333.66666666666669</v>
      </c>
      <c r="G187" s="108">
        <f t="shared" si="109"/>
        <v>30697.333333333336</v>
      </c>
      <c r="H187" s="5">
        <v>365</v>
      </c>
      <c r="I187" s="5">
        <v>366</v>
      </c>
      <c r="J187" s="5">
        <v>346</v>
      </c>
      <c r="K187" s="63">
        <f t="shared" si="110"/>
        <v>359</v>
      </c>
      <c r="L187" s="108">
        <f t="shared" si="111"/>
        <v>33028</v>
      </c>
      <c r="M187" s="5">
        <v>337</v>
      </c>
      <c r="N187" s="75">
        <v>333</v>
      </c>
      <c r="O187" s="75">
        <v>341</v>
      </c>
      <c r="P187" s="63">
        <f t="shared" si="112"/>
        <v>337</v>
      </c>
      <c r="Q187" s="108">
        <f t="shared" si="113"/>
        <v>30330</v>
      </c>
      <c r="R187" s="5">
        <v>333</v>
      </c>
      <c r="S187" s="75">
        <v>361</v>
      </c>
      <c r="T187" s="76">
        <v>362</v>
      </c>
      <c r="U187" s="63">
        <f t="shared" si="114"/>
        <v>352</v>
      </c>
      <c r="V187" s="111">
        <f t="shared" si="115"/>
        <v>32032</v>
      </c>
      <c r="W187" s="64">
        <f t="shared" si="116"/>
        <v>345.41666666666669</v>
      </c>
      <c r="X187" s="66">
        <f t="shared" si="117"/>
        <v>126077.08333333334</v>
      </c>
    </row>
    <row r="188" spans="1:24" ht="15" customHeight="1" thickBot="1" x14ac:dyDescent="0.3">
      <c r="A188" s="50" t="s">
        <v>339</v>
      </c>
      <c r="B188" s="496">
        <v>1050</v>
      </c>
      <c r="C188" s="5">
        <v>1039</v>
      </c>
      <c r="D188" s="5">
        <v>1043</v>
      </c>
      <c r="E188" s="5">
        <v>1037</v>
      </c>
      <c r="F188" s="63">
        <f t="shared" si="108"/>
        <v>1039.6666666666667</v>
      </c>
      <c r="G188" s="108">
        <f t="shared" si="109"/>
        <v>95649.333333333343</v>
      </c>
      <c r="H188" s="5">
        <v>1027</v>
      </c>
      <c r="I188" s="5">
        <v>1008</v>
      </c>
      <c r="J188" s="5">
        <v>1031</v>
      </c>
      <c r="K188" s="63">
        <f t="shared" si="110"/>
        <v>1022</v>
      </c>
      <c r="L188" s="108">
        <f t="shared" si="111"/>
        <v>94024</v>
      </c>
      <c r="M188" s="5">
        <v>1029</v>
      </c>
      <c r="N188" s="75">
        <v>971</v>
      </c>
      <c r="O188" s="75">
        <v>853</v>
      </c>
      <c r="P188" s="63">
        <f t="shared" si="112"/>
        <v>951</v>
      </c>
      <c r="Q188" s="108">
        <f t="shared" si="113"/>
        <v>85590</v>
      </c>
      <c r="R188" s="5">
        <v>796</v>
      </c>
      <c r="S188" s="75">
        <v>641</v>
      </c>
      <c r="T188" s="76">
        <v>467</v>
      </c>
      <c r="U188" s="63">
        <f t="shared" si="114"/>
        <v>634.66666666666663</v>
      </c>
      <c r="V188" s="111">
        <f t="shared" si="115"/>
        <v>57754.666666666664</v>
      </c>
      <c r="W188" s="64">
        <f t="shared" si="116"/>
        <v>911.83333333333337</v>
      </c>
      <c r="X188" s="65">
        <f t="shared" si="117"/>
        <v>332819.16666666669</v>
      </c>
    </row>
    <row r="189" spans="1:24" ht="15" customHeight="1" thickBot="1" x14ac:dyDescent="0.3">
      <c r="A189" s="50" t="s">
        <v>137</v>
      </c>
      <c r="B189" s="496" t="s">
        <v>434</v>
      </c>
      <c r="C189" s="5">
        <v>17</v>
      </c>
      <c r="D189" s="5">
        <v>16</v>
      </c>
      <c r="E189" s="5">
        <v>16</v>
      </c>
      <c r="F189" s="63">
        <f t="shared" si="108"/>
        <v>16.333333333333332</v>
      </c>
      <c r="G189" s="108">
        <f t="shared" si="109"/>
        <v>1502.6666666666665</v>
      </c>
      <c r="H189" s="5">
        <v>16</v>
      </c>
      <c r="I189" s="5">
        <v>16</v>
      </c>
      <c r="J189" s="5">
        <v>16</v>
      </c>
      <c r="K189" s="63">
        <f t="shared" si="110"/>
        <v>16</v>
      </c>
      <c r="L189" s="108">
        <f t="shared" si="111"/>
        <v>1472</v>
      </c>
      <c r="M189" s="5">
        <v>16</v>
      </c>
      <c r="N189" s="75">
        <v>17</v>
      </c>
      <c r="O189" s="75">
        <v>16</v>
      </c>
      <c r="P189" s="63">
        <f t="shared" si="112"/>
        <v>16.333333333333332</v>
      </c>
      <c r="Q189" s="108">
        <f t="shared" si="113"/>
        <v>1470</v>
      </c>
      <c r="R189" s="5">
        <v>16</v>
      </c>
      <c r="S189" s="75">
        <v>16</v>
      </c>
      <c r="T189" s="76">
        <v>16</v>
      </c>
      <c r="U189" s="63">
        <f t="shared" si="114"/>
        <v>16</v>
      </c>
      <c r="V189" s="112">
        <f t="shared" si="115"/>
        <v>1456</v>
      </c>
      <c r="W189" s="64">
        <f t="shared" si="116"/>
        <v>16.166666666666668</v>
      </c>
      <c r="X189" s="66">
        <f t="shared" si="117"/>
        <v>5900.8333333333339</v>
      </c>
    </row>
    <row r="190" spans="1:24" ht="15" customHeight="1" thickBot="1" x14ac:dyDescent="0.3">
      <c r="A190" s="53" t="s">
        <v>141</v>
      </c>
      <c r="B190" s="37"/>
      <c r="C190" s="80">
        <f>SUM(C184:C189)</f>
        <v>2162.71</v>
      </c>
      <c r="D190" s="80">
        <f>SUM(D184:D189)</f>
        <v>2168.42</v>
      </c>
      <c r="E190" s="80">
        <f>SUM(E184:E189)</f>
        <v>2157.0699999999997</v>
      </c>
      <c r="F190" s="68">
        <f t="shared" si="108"/>
        <v>2162.7333333333331</v>
      </c>
      <c r="G190" s="108">
        <f t="shared" si="109"/>
        <v>198971.46666666665</v>
      </c>
      <c r="H190" s="94">
        <f>SUM(H184:H189)</f>
        <v>2164.48</v>
      </c>
      <c r="I190" s="80">
        <f>SUM(I184:I189)</f>
        <v>2181.8000000000002</v>
      </c>
      <c r="J190" s="80">
        <f>SUM(J184:J189)</f>
        <v>2169</v>
      </c>
      <c r="K190" s="68">
        <f t="shared" si="110"/>
        <v>2171.7600000000002</v>
      </c>
      <c r="L190" s="119">
        <f t="shared" si="111"/>
        <v>199801.92</v>
      </c>
      <c r="M190" s="94">
        <f>SUM(M184:M189)</f>
        <v>2167.2600000000002</v>
      </c>
      <c r="N190" s="80">
        <f>SUM(N184:N189)</f>
        <v>2120.21</v>
      </c>
      <c r="O190" s="80">
        <f>SUM(O184:O189)</f>
        <v>2009.93</v>
      </c>
      <c r="P190" s="68">
        <f t="shared" si="112"/>
        <v>2099.1333333333337</v>
      </c>
      <c r="Q190" s="108">
        <f t="shared" si="113"/>
        <v>188922.00000000003</v>
      </c>
      <c r="R190" s="94">
        <f>SUM(R184:R189)</f>
        <v>1927.5</v>
      </c>
      <c r="S190" s="80">
        <f>SUM(S184:S189)</f>
        <v>1791.19</v>
      </c>
      <c r="T190" s="81">
        <f>SUM(T184:T189)</f>
        <v>1637.9299999999998</v>
      </c>
      <c r="U190" s="68">
        <f t="shared" si="114"/>
        <v>1785.54</v>
      </c>
      <c r="V190" s="120">
        <f t="shared" si="115"/>
        <v>162484.13999999998</v>
      </c>
      <c r="W190" s="69">
        <f>SUM(W184:W189)</f>
        <v>2054.7916666666665</v>
      </c>
      <c r="X190" s="69">
        <f>SUM(X184:X189)</f>
        <v>749998.95833333337</v>
      </c>
    </row>
    <row r="191" spans="1:24" ht="15" customHeight="1" thickBot="1" x14ac:dyDescent="0.3">
      <c r="A191" s="54" t="s">
        <v>145</v>
      </c>
      <c r="B191" s="38"/>
      <c r="C191" s="80">
        <f>C182+C190</f>
        <v>6024.3599999999988</v>
      </c>
      <c r="D191" s="80">
        <f>D182+D190</f>
        <v>6037.93</v>
      </c>
      <c r="E191" s="80">
        <f>E182+E190</f>
        <v>6088.93</v>
      </c>
      <c r="F191" s="80">
        <f>F182+F190</f>
        <v>6050.4066666666668</v>
      </c>
      <c r="G191" s="68">
        <f>SUM(G182+G190)</f>
        <v>556637.41333333333</v>
      </c>
      <c r="H191" s="80">
        <f>H182+H190</f>
        <v>6112.14</v>
      </c>
      <c r="I191" s="80">
        <f>I182+I190</f>
        <v>6167.57</v>
      </c>
      <c r="J191" s="80">
        <f>J182+J190</f>
        <v>6001.8600000000006</v>
      </c>
      <c r="K191" s="120">
        <f t="shared" si="110"/>
        <v>6093.8566666666666</v>
      </c>
      <c r="L191" s="68">
        <f>SUM(L182+L190)</f>
        <v>560634.81333333335</v>
      </c>
      <c r="M191" s="94">
        <f>M182+M190</f>
        <v>6113.13</v>
      </c>
      <c r="N191" s="80">
        <f>N182+N190</f>
        <v>6219.76</v>
      </c>
      <c r="O191" s="80">
        <f>O182+O190</f>
        <v>6200.21</v>
      </c>
      <c r="P191" s="99">
        <f t="shared" si="112"/>
        <v>6177.7</v>
      </c>
      <c r="Q191" s="68">
        <f>SUM(Q182+Q190)</f>
        <v>555993.00000000012</v>
      </c>
      <c r="R191" s="94">
        <f>R182+R190</f>
        <v>6168.49</v>
      </c>
      <c r="S191" s="80">
        <f>S182+S190</f>
        <v>6147.8600000000006</v>
      </c>
      <c r="T191" s="81">
        <f>T182+T190</f>
        <v>6157.65</v>
      </c>
      <c r="U191" s="99">
        <f t="shared" si="114"/>
        <v>6158</v>
      </c>
      <c r="V191" s="68">
        <f>SUM(V182+V190)</f>
        <v>560378</v>
      </c>
      <c r="W191" s="80">
        <f>W182+W190</f>
        <v>6119.9908333333333</v>
      </c>
      <c r="X191" s="82">
        <f>X182+X190</f>
        <v>2233796.6541666668</v>
      </c>
    </row>
    <row r="192" spans="1:24" ht="15" customHeight="1" x14ac:dyDescent="0.25">
      <c r="A192" s="564" t="s">
        <v>470</v>
      </c>
      <c r="B192" s="565"/>
      <c r="C192" s="566"/>
      <c r="D192" s="115"/>
      <c r="E192" s="115"/>
      <c r="F192" s="115"/>
      <c r="G192" s="113"/>
      <c r="H192" s="115"/>
      <c r="I192" s="115"/>
      <c r="J192" s="115"/>
      <c r="K192" s="139"/>
      <c r="L192" s="113"/>
      <c r="M192" s="115"/>
      <c r="N192" s="115"/>
      <c r="O192" s="115"/>
      <c r="P192" s="93"/>
      <c r="Q192" s="113"/>
      <c r="R192" s="115"/>
      <c r="S192" s="115"/>
      <c r="T192" s="115"/>
      <c r="U192" s="93"/>
      <c r="V192" s="113"/>
      <c r="W192" s="115"/>
      <c r="X192" s="115"/>
    </row>
    <row r="193" spans="1:24" ht="15" customHeight="1" x14ac:dyDescent="0.25">
      <c r="A193" s="564" t="s">
        <v>471</v>
      </c>
      <c r="B193" s="565"/>
      <c r="C193" s="566"/>
      <c r="D193" s="115"/>
      <c r="E193" s="115"/>
      <c r="F193" s="115"/>
      <c r="G193" s="113"/>
      <c r="H193" s="115"/>
      <c r="I193" s="115"/>
      <c r="J193" s="115"/>
      <c r="K193" s="139"/>
      <c r="L193" s="113"/>
      <c r="M193" s="115"/>
      <c r="N193" s="115"/>
      <c r="O193" s="115"/>
      <c r="P193" s="93"/>
      <c r="Q193" s="113"/>
      <c r="R193" s="115"/>
      <c r="S193" s="115"/>
      <c r="T193" s="115"/>
      <c r="U193" s="93"/>
      <c r="V193" s="113"/>
      <c r="W193" s="115"/>
      <c r="X193" s="115"/>
    </row>
    <row r="194" spans="1:24" ht="15" customHeight="1" x14ac:dyDescent="0.25">
      <c r="A194" s="114"/>
      <c r="B194" s="19"/>
      <c r="C194" s="115"/>
      <c r="D194" s="115"/>
      <c r="E194" s="115"/>
      <c r="F194" s="115"/>
      <c r="G194" s="113"/>
      <c r="H194" s="115"/>
      <c r="I194" s="115"/>
      <c r="J194" s="115"/>
      <c r="K194" s="139"/>
      <c r="L194" s="113"/>
      <c r="M194" s="115"/>
      <c r="N194" s="115"/>
      <c r="O194" s="115"/>
      <c r="P194" s="93"/>
      <c r="Q194" s="113"/>
      <c r="R194" s="115"/>
      <c r="S194" s="115"/>
      <c r="T194" s="115"/>
      <c r="U194" s="93"/>
      <c r="V194" s="113"/>
      <c r="W194" s="115"/>
      <c r="X194" s="115"/>
    </row>
    <row r="195" spans="1:24" ht="18" customHeight="1" x14ac:dyDescent="0.2">
      <c r="A195" s="45" t="s">
        <v>144</v>
      </c>
      <c r="B195" s="10"/>
      <c r="C195" s="13"/>
      <c r="D195" s="13"/>
      <c r="E195" s="13"/>
      <c r="F195" s="13"/>
      <c r="G195" s="13"/>
      <c r="H195" s="13"/>
      <c r="I195" s="13"/>
      <c r="J195" s="13"/>
      <c r="K195" s="13"/>
      <c r="L195" s="13"/>
      <c r="M195" s="13"/>
      <c r="N195" s="13"/>
      <c r="O195" s="13"/>
      <c r="P195" s="13"/>
      <c r="Q195" s="13"/>
      <c r="R195" s="13"/>
      <c r="S195" s="13"/>
      <c r="T195" s="13"/>
      <c r="U195" s="13"/>
      <c r="V195" s="13"/>
      <c r="W195" s="13"/>
      <c r="X195" s="13"/>
    </row>
    <row r="196" spans="1:24" ht="18" customHeight="1" thickBot="1" x14ac:dyDescent="0.25">
      <c r="A196" s="45"/>
      <c r="B196" s="10"/>
      <c r="C196" s="13"/>
      <c r="D196" s="13"/>
      <c r="E196" s="13"/>
      <c r="F196" s="13"/>
      <c r="G196" s="13"/>
      <c r="H196" s="13"/>
      <c r="I196" s="13"/>
      <c r="J196" s="13"/>
      <c r="K196" s="13"/>
      <c r="L196" s="13"/>
      <c r="M196" s="13"/>
      <c r="N196" s="13"/>
      <c r="O196" s="13"/>
      <c r="P196" s="13"/>
      <c r="Q196" s="13"/>
      <c r="R196" s="13"/>
      <c r="S196" s="13"/>
      <c r="T196" s="13"/>
      <c r="U196" s="13"/>
      <c r="V196" s="13"/>
      <c r="W196" s="13"/>
      <c r="X196" s="13"/>
    </row>
    <row r="197" spans="1:24" ht="20.25" customHeight="1" thickBot="1" x14ac:dyDescent="0.3">
      <c r="A197" s="497" t="s">
        <v>411</v>
      </c>
      <c r="B197" s="1055" t="s">
        <v>142</v>
      </c>
      <c r="C197" s="1056"/>
      <c r="D197" s="1056"/>
      <c r="E197" s="1056"/>
      <c r="F197" s="1056"/>
      <c r="G197" s="1056"/>
      <c r="H197" s="1056"/>
      <c r="I197" s="1056"/>
      <c r="J197" s="1056"/>
      <c r="K197" s="1056"/>
      <c r="L197" s="1056"/>
      <c r="M197" s="1056"/>
      <c r="N197" s="1056"/>
      <c r="O197" s="1056"/>
      <c r="P197" s="1056"/>
      <c r="Q197" s="1056"/>
      <c r="R197" s="1056"/>
      <c r="S197" s="1056"/>
      <c r="T197" s="1056"/>
      <c r="U197" s="39"/>
      <c r="V197" s="39"/>
      <c r="W197" s="92"/>
      <c r="X197" s="13"/>
    </row>
    <row r="198" spans="1:24" ht="15" customHeight="1" x14ac:dyDescent="0.25">
      <c r="A198" s="56"/>
      <c r="B198" s="40" t="s">
        <v>245</v>
      </c>
      <c r="C198" s="57"/>
      <c r="D198" s="58"/>
      <c r="E198" s="58"/>
      <c r="F198" s="1047" t="s">
        <v>242</v>
      </c>
      <c r="G198" s="1039" t="s">
        <v>262</v>
      </c>
      <c r="H198" s="58"/>
      <c r="I198" s="58"/>
      <c r="J198" s="58"/>
      <c r="K198" s="1047" t="s">
        <v>242</v>
      </c>
      <c r="L198" s="1039" t="s">
        <v>262</v>
      </c>
      <c r="M198" s="58"/>
      <c r="N198" s="558" t="s">
        <v>463</v>
      </c>
      <c r="O198" s="58"/>
      <c r="P198" s="1047" t="s">
        <v>242</v>
      </c>
      <c r="Q198" s="1039" t="s">
        <v>262</v>
      </c>
      <c r="R198" s="58"/>
      <c r="S198" s="58"/>
      <c r="T198" s="59"/>
      <c r="U198" s="1047" t="s">
        <v>242</v>
      </c>
      <c r="V198" s="1039" t="s">
        <v>262</v>
      </c>
      <c r="W198" s="1041" t="s">
        <v>143</v>
      </c>
      <c r="X198" s="1043" t="s">
        <v>144</v>
      </c>
    </row>
    <row r="199" spans="1:24" ht="24.75" customHeight="1" thickBot="1" x14ac:dyDescent="0.3">
      <c r="A199" s="47" t="s">
        <v>55</v>
      </c>
      <c r="B199" s="41" t="s">
        <v>429</v>
      </c>
      <c r="C199" s="60">
        <v>40735</v>
      </c>
      <c r="D199" s="61">
        <v>40766</v>
      </c>
      <c r="E199" s="61">
        <v>40797</v>
      </c>
      <c r="F199" s="1048"/>
      <c r="G199" s="1040"/>
      <c r="H199" s="61">
        <v>40827</v>
      </c>
      <c r="I199" s="61">
        <v>40858</v>
      </c>
      <c r="J199" s="61">
        <v>40888</v>
      </c>
      <c r="K199" s="1048"/>
      <c r="L199" s="1040"/>
      <c r="M199" s="61">
        <v>40920</v>
      </c>
      <c r="N199" s="61">
        <v>40951</v>
      </c>
      <c r="O199" s="61">
        <v>40980</v>
      </c>
      <c r="P199" s="1048"/>
      <c r="Q199" s="1040"/>
      <c r="R199" s="61">
        <v>41011</v>
      </c>
      <c r="S199" s="61">
        <v>41041</v>
      </c>
      <c r="T199" s="62">
        <v>41072</v>
      </c>
      <c r="U199" s="1048"/>
      <c r="V199" s="1040"/>
      <c r="W199" s="1042"/>
      <c r="X199" s="1044"/>
    </row>
    <row r="200" spans="1:24" ht="15" customHeight="1" thickBot="1" x14ac:dyDescent="0.3">
      <c r="A200" s="48" t="s">
        <v>275</v>
      </c>
      <c r="B200" s="42" t="s">
        <v>280</v>
      </c>
      <c r="C200" s="125">
        <v>450.87</v>
      </c>
      <c r="D200" s="125">
        <v>452.77</v>
      </c>
      <c r="E200" s="117">
        <v>472.67</v>
      </c>
      <c r="F200" s="63">
        <f>SUM(C200:E200)/3</f>
        <v>458.77</v>
      </c>
      <c r="G200" s="108">
        <f t="shared" ref="G200:G213" si="118">F200*92</f>
        <v>42206.84</v>
      </c>
      <c r="H200" s="117">
        <v>514.9</v>
      </c>
      <c r="I200" s="117">
        <v>447.87</v>
      </c>
      <c r="J200" s="117">
        <v>415.97</v>
      </c>
      <c r="K200" s="63">
        <f t="shared" ref="K200:K214" si="119">SUM(H200:J200)/3</f>
        <v>459.58</v>
      </c>
      <c r="L200" s="108">
        <f t="shared" ref="L200:L214" si="120">K200*92</f>
        <v>42281.36</v>
      </c>
      <c r="M200" s="117">
        <v>444.71</v>
      </c>
      <c r="N200" s="85">
        <v>460.97</v>
      </c>
      <c r="O200" s="85">
        <v>468.19</v>
      </c>
      <c r="P200" s="63">
        <f t="shared" ref="P200:P214" si="121">SUM(M200:O200)/3</f>
        <v>457.95666666666671</v>
      </c>
      <c r="Q200" s="108">
        <f>P200*91</f>
        <v>41674.056666666671</v>
      </c>
      <c r="R200" s="117">
        <v>470.97</v>
      </c>
      <c r="S200" s="85">
        <v>469.94</v>
      </c>
      <c r="T200" s="135">
        <v>491.63</v>
      </c>
      <c r="U200" s="63">
        <f t="shared" ref="U200:U214" si="122">SUM(R200:T200)/3</f>
        <v>477.51333333333332</v>
      </c>
      <c r="V200" s="111">
        <f t="shared" ref="V200:V214" si="123">U200*91</f>
        <v>43453.713333333333</v>
      </c>
      <c r="W200" s="64">
        <f t="shared" ref="W200:W214" si="124">SUM(C200+D200+E200+H200+I200+J200+M200+N200+O200+R200+S200+T200)/12</f>
        <v>463.45499999999998</v>
      </c>
      <c r="X200" s="65">
        <f>W200*366</f>
        <v>169624.53</v>
      </c>
    </row>
    <row r="201" spans="1:24" ht="15" customHeight="1" thickBot="1" x14ac:dyDescent="0.3">
      <c r="A201" s="49" t="s">
        <v>127</v>
      </c>
      <c r="B201" s="43" t="s">
        <v>430</v>
      </c>
      <c r="C201" s="126">
        <v>145.81</v>
      </c>
      <c r="D201" s="126">
        <v>140.29</v>
      </c>
      <c r="E201" s="118">
        <v>135.07</v>
      </c>
      <c r="F201" s="63">
        <f t="shared" ref="F201:F213" si="125">SUM(C201:E201)/3</f>
        <v>140.39000000000001</v>
      </c>
      <c r="G201" s="108">
        <f t="shared" si="118"/>
        <v>12915.880000000001</v>
      </c>
      <c r="H201" s="118">
        <v>127.87</v>
      </c>
      <c r="I201" s="118">
        <v>122.27</v>
      </c>
      <c r="J201" s="118">
        <v>104.16</v>
      </c>
      <c r="K201" s="63">
        <f t="shared" si="119"/>
        <v>118.09999999999998</v>
      </c>
      <c r="L201" s="108">
        <f t="shared" si="120"/>
        <v>10865.199999999999</v>
      </c>
      <c r="M201" s="118">
        <v>116.1</v>
      </c>
      <c r="N201" s="86">
        <v>112.1</v>
      </c>
      <c r="O201" s="86">
        <v>111.58</v>
      </c>
      <c r="P201" s="63">
        <f t="shared" si="121"/>
        <v>113.25999999999999</v>
      </c>
      <c r="Q201" s="108">
        <f>P201*91</f>
        <v>10306.66</v>
      </c>
      <c r="R201" s="118">
        <v>114.03</v>
      </c>
      <c r="S201" s="86">
        <v>118.77</v>
      </c>
      <c r="T201" s="89">
        <v>123.93</v>
      </c>
      <c r="U201" s="63">
        <f t="shared" si="122"/>
        <v>118.91000000000001</v>
      </c>
      <c r="V201" s="111">
        <f t="shared" si="123"/>
        <v>10820.810000000001</v>
      </c>
      <c r="W201" s="64">
        <f t="shared" si="124"/>
        <v>122.66500000000001</v>
      </c>
      <c r="X201" s="65">
        <f>W201*366</f>
        <v>44895.39</v>
      </c>
    </row>
    <row r="202" spans="1:24" ht="15" customHeight="1" thickBot="1" x14ac:dyDescent="0.3">
      <c r="A202" s="50" t="s">
        <v>276</v>
      </c>
      <c r="B202" s="44" t="s">
        <v>281</v>
      </c>
      <c r="C202" s="4">
        <v>442.61</v>
      </c>
      <c r="D202" s="4">
        <v>448.58</v>
      </c>
      <c r="E202" s="3">
        <v>454.97</v>
      </c>
      <c r="F202" s="63">
        <f t="shared" si="125"/>
        <v>448.72</v>
      </c>
      <c r="G202" s="108">
        <f t="shared" si="118"/>
        <v>41282.240000000005</v>
      </c>
      <c r="H202" s="3">
        <v>451.35</v>
      </c>
      <c r="I202" s="3">
        <v>450.2</v>
      </c>
      <c r="J202" s="3">
        <v>437.55</v>
      </c>
      <c r="K202" s="63">
        <f t="shared" si="119"/>
        <v>446.36666666666662</v>
      </c>
      <c r="L202" s="108">
        <f t="shared" si="120"/>
        <v>41065.73333333333</v>
      </c>
      <c r="M202" s="3">
        <v>442.84</v>
      </c>
      <c r="N202" s="87">
        <v>450.31</v>
      </c>
      <c r="O202" s="87">
        <v>443.1</v>
      </c>
      <c r="P202" s="63">
        <f t="shared" si="121"/>
        <v>445.41666666666669</v>
      </c>
      <c r="Q202" s="108">
        <f t="shared" ref="Q202:Q212" si="126">P202*91</f>
        <v>40532.916666666672</v>
      </c>
      <c r="R202" s="3">
        <v>438.47</v>
      </c>
      <c r="S202" s="87">
        <v>438.06</v>
      </c>
      <c r="T202" s="90">
        <v>405.3</v>
      </c>
      <c r="U202" s="63">
        <f t="shared" si="122"/>
        <v>427.27666666666664</v>
      </c>
      <c r="V202" s="111">
        <f t="shared" si="123"/>
        <v>38882.176666666666</v>
      </c>
      <c r="W202" s="64">
        <f t="shared" si="124"/>
        <v>441.94500000000011</v>
      </c>
      <c r="X202" s="65">
        <f t="shared" ref="X202:X212" si="127">W202*366</f>
        <v>161751.87000000005</v>
      </c>
    </row>
    <row r="203" spans="1:24" ht="15" customHeight="1" thickBot="1" x14ac:dyDescent="0.3">
      <c r="A203" s="50" t="s">
        <v>319</v>
      </c>
      <c r="B203" s="44" t="s">
        <v>318</v>
      </c>
      <c r="C203" s="4">
        <v>277.61</v>
      </c>
      <c r="D203" s="4">
        <v>282.48</v>
      </c>
      <c r="E203" s="3">
        <v>285.60000000000002</v>
      </c>
      <c r="F203" s="63">
        <f t="shared" si="125"/>
        <v>281.8966666666667</v>
      </c>
      <c r="G203" s="108">
        <f t="shared" si="118"/>
        <v>25934.493333333336</v>
      </c>
      <c r="H203" s="3">
        <v>285.13</v>
      </c>
      <c r="I203" s="3">
        <v>276.07</v>
      </c>
      <c r="J203" s="3">
        <v>248</v>
      </c>
      <c r="K203" s="63">
        <f t="shared" si="119"/>
        <v>269.73333333333335</v>
      </c>
      <c r="L203" s="108">
        <f t="shared" si="120"/>
        <v>24815.466666666667</v>
      </c>
      <c r="M203" s="3">
        <v>261.45</v>
      </c>
      <c r="N203" s="87">
        <v>272.14</v>
      </c>
      <c r="O203" s="87">
        <v>273.39</v>
      </c>
      <c r="P203" s="63">
        <f t="shared" si="121"/>
        <v>268.99333333333328</v>
      </c>
      <c r="Q203" s="108">
        <f t="shared" si="126"/>
        <v>24478.39333333333</v>
      </c>
      <c r="R203" s="3">
        <v>285.77</v>
      </c>
      <c r="S203" s="87">
        <v>299.42</v>
      </c>
      <c r="T203" s="90">
        <v>296.60000000000002</v>
      </c>
      <c r="U203" s="63">
        <f t="shared" si="122"/>
        <v>293.93</v>
      </c>
      <c r="V203" s="111">
        <f t="shared" si="123"/>
        <v>26747.63</v>
      </c>
      <c r="W203" s="64">
        <f t="shared" si="124"/>
        <v>278.63833333333332</v>
      </c>
      <c r="X203" s="65">
        <f t="shared" si="127"/>
        <v>101981.62999999999</v>
      </c>
    </row>
    <row r="204" spans="1:24" ht="15" customHeight="1" thickBot="1" x14ac:dyDescent="0.3">
      <c r="A204" s="51" t="s">
        <v>259</v>
      </c>
      <c r="B204" s="44" t="s">
        <v>283</v>
      </c>
      <c r="C204" s="4">
        <v>421.06</v>
      </c>
      <c r="D204" s="4">
        <v>416.61</v>
      </c>
      <c r="E204" s="3">
        <v>420.83</v>
      </c>
      <c r="F204" s="63">
        <f t="shared" si="125"/>
        <v>419.5</v>
      </c>
      <c r="G204" s="108">
        <f t="shared" si="118"/>
        <v>38594</v>
      </c>
      <c r="H204" s="3">
        <v>407.13</v>
      </c>
      <c r="I204" s="3">
        <v>421.03</v>
      </c>
      <c r="J204" s="3">
        <v>403.87</v>
      </c>
      <c r="K204" s="63">
        <f t="shared" si="119"/>
        <v>410.67666666666668</v>
      </c>
      <c r="L204" s="108">
        <f t="shared" si="120"/>
        <v>37782.253333333334</v>
      </c>
      <c r="M204" s="3">
        <v>413.9</v>
      </c>
      <c r="N204" s="87">
        <v>425.45</v>
      </c>
      <c r="O204" s="87">
        <v>420.97</v>
      </c>
      <c r="P204" s="63">
        <f t="shared" si="121"/>
        <v>420.10666666666663</v>
      </c>
      <c r="Q204" s="108">
        <f t="shared" si="126"/>
        <v>38229.706666666665</v>
      </c>
      <c r="R204" s="3">
        <v>412.9</v>
      </c>
      <c r="S204" s="87">
        <v>405.26</v>
      </c>
      <c r="T204" s="90">
        <v>410.9</v>
      </c>
      <c r="U204" s="63">
        <f t="shared" si="122"/>
        <v>409.68666666666667</v>
      </c>
      <c r="V204" s="111">
        <f t="shared" si="123"/>
        <v>37281.486666666664</v>
      </c>
      <c r="W204" s="64">
        <f t="shared" si="124"/>
        <v>414.99249999999989</v>
      </c>
      <c r="X204" s="65">
        <f t="shared" si="127"/>
        <v>151887.25499999995</v>
      </c>
    </row>
    <row r="205" spans="1:24" ht="15" customHeight="1" thickBot="1" x14ac:dyDescent="0.3">
      <c r="A205" s="50" t="s">
        <v>15</v>
      </c>
      <c r="B205" s="44" t="s">
        <v>252</v>
      </c>
      <c r="C205" s="4">
        <v>57.94</v>
      </c>
      <c r="D205" s="4">
        <v>55.26</v>
      </c>
      <c r="E205" s="3">
        <v>61.7</v>
      </c>
      <c r="F205" s="63">
        <f t="shared" si="125"/>
        <v>58.29999999999999</v>
      </c>
      <c r="G205" s="108">
        <f t="shared" si="118"/>
        <v>5363.5999999999995</v>
      </c>
      <c r="H205" s="3">
        <v>67.39</v>
      </c>
      <c r="I205" s="3">
        <v>64.3</v>
      </c>
      <c r="J205" s="3">
        <v>66.45</v>
      </c>
      <c r="K205" s="63">
        <f t="shared" si="119"/>
        <v>66.046666666666667</v>
      </c>
      <c r="L205" s="108">
        <f t="shared" si="120"/>
        <v>6076.2933333333331</v>
      </c>
      <c r="M205" s="3">
        <v>64.099999999999994</v>
      </c>
      <c r="N205" s="87">
        <v>65.31</v>
      </c>
      <c r="O205" s="87">
        <v>58.26</v>
      </c>
      <c r="P205" s="63">
        <f t="shared" si="121"/>
        <v>62.556666666666665</v>
      </c>
      <c r="Q205" s="108">
        <f t="shared" si="126"/>
        <v>5692.6566666666668</v>
      </c>
      <c r="R205" s="3">
        <v>69.430000000000007</v>
      </c>
      <c r="S205" s="87">
        <v>68</v>
      </c>
      <c r="T205" s="90">
        <v>62.37</v>
      </c>
      <c r="U205" s="63">
        <f t="shared" si="122"/>
        <v>66.600000000000009</v>
      </c>
      <c r="V205" s="111">
        <f t="shared" si="123"/>
        <v>6060.6</v>
      </c>
      <c r="W205" s="64">
        <f t="shared" si="124"/>
        <v>63.37583333333334</v>
      </c>
      <c r="X205" s="65">
        <f t="shared" si="127"/>
        <v>23195.555000000004</v>
      </c>
    </row>
    <row r="206" spans="1:24" ht="15" customHeight="1" thickBot="1" x14ac:dyDescent="0.3">
      <c r="A206" s="50" t="s">
        <v>16</v>
      </c>
      <c r="B206" s="44" t="s">
        <v>284</v>
      </c>
      <c r="C206" s="4">
        <v>236.84</v>
      </c>
      <c r="D206" s="4">
        <v>229.32</v>
      </c>
      <c r="E206" s="3">
        <v>237.73</v>
      </c>
      <c r="F206" s="63">
        <f t="shared" si="125"/>
        <v>234.63</v>
      </c>
      <c r="G206" s="108">
        <f t="shared" si="118"/>
        <v>21585.96</v>
      </c>
      <c r="H206" s="3">
        <v>237.16</v>
      </c>
      <c r="I206" s="3">
        <v>225.33</v>
      </c>
      <c r="J206" s="3">
        <v>237.9</v>
      </c>
      <c r="K206" s="63">
        <f t="shared" si="119"/>
        <v>233.46333333333334</v>
      </c>
      <c r="L206" s="108">
        <f t="shared" si="120"/>
        <v>21478.626666666667</v>
      </c>
      <c r="M206" s="3">
        <v>231.94</v>
      </c>
      <c r="N206" s="87">
        <v>233.62</v>
      </c>
      <c r="O206" s="87">
        <v>245.9</v>
      </c>
      <c r="P206" s="63">
        <f t="shared" si="121"/>
        <v>237.15333333333334</v>
      </c>
      <c r="Q206" s="108">
        <f t="shared" si="126"/>
        <v>21580.953333333335</v>
      </c>
      <c r="R206" s="3">
        <v>239.9</v>
      </c>
      <c r="S206" s="87">
        <v>229.84</v>
      </c>
      <c r="T206" s="90">
        <v>223.77</v>
      </c>
      <c r="U206" s="63">
        <f t="shared" si="122"/>
        <v>231.17</v>
      </c>
      <c r="V206" s="111">
        <f t="shared" si="123"/>
        <v>21036.469999999998</v>
      </c>
      <c r="W206" s="64">
        <f t="shared" si="124"/>
        <v>234.10416666666671</v>
      </c>
      <c r="X206" s="65">
        <f t="shared" si="127"/>
        <v>85682.125000000015</v>
      </c>
    </row>
    <row r="207" spans="1:24" ht="15" customHeight="1" thickBot="1" x14ac:dyDescent="0.3">
      <c r="A207" s="50" t="s">
        <v>129</v>
      </c>
      <c r="B207" s="44" t="s">
        <v>285</v>
      </c>
      <c r="C207" s="4">
        <v>100.77</v>
      </c>
      <c r="D207" s="4">
        <v>91.77</v>
      </c>
      <c r="E207" s="3">
        <v>96.83</v>
      </c>
      <c r="F207" s="63">
        <f t="shared" si="125"/>
        <v>96.456666666666663</v>
      </c>
      <c r="G207" s="108">
        <f t="shared" si="118"/>
        <v>8874.0133333333324</v>
      </c>
      <c r="H207" s="3">
        <v>106.32</v>
      </c>
      <c r="I207" s="3">
        <v>98.63</v>
      </c>
      <c r="J207" s="3">
        <v>92.68</v>
      </c>
      <c r="K207" s="63">
        <f t="shared" si="119"/>
        <v>99.21</v>
      </c>
      <c r="L207" s="108">
        <f t="shared" si="120"/>
        <v>9127.32</v>
      </c>
      <c r="M207" s="3">
        <v>85.45</v>
      </c>
      <c r="N207" s="87">
        <v>94.45</v>
      </c>
      <c r="O207" s="87">
        <v>97.06</v>
      </c>
      <c r="P207" s="63">
        <f t="shared" si="121"/>
        <v>92.320000000000007</v>
      </c>
      <c r="Q207" s="108">
        <f t="shared" si="126"/>
        <v>8401.1200000000008</v>
      </c>
      <c r="R207" s="3">
        <v>97.23</v>
      </c>
      <c r="S207" s="87">
        <v>93.55</v>
      </c>
      <c r="T207" s="90">
        <v>98.23</v>
      </c>
      <c r="U207" s="63">
        <f t="shared" si="122"/>
        <v>96.336666666666659</v>
      </c>
      <c r="V207" s="111">
        <f t="shared" si="123"/>
        <v>8766.6366666666654</v>
      </c>
      <c r="W207" s="64">
        <f t="shared" si="124"/>
        <v>96.080833333333331</v>
      </c>
      <c r="X207" s="65">
        <f t="shared" si="127"/>
        <v>35165.584999999999</v>
      </c>
    </row>
    <row r="208" spans="1:24" ht="15" customHeight="1" thickBot="1" x14ac:dyDescent="0.3">
      <c r="A208" s="51" t="s">
        <v>260</v>
      </c>
      <c r="B208" s="44" t="s">
        <v>292</v>
      </c>
      <c r="C208" s="4">
        <f>331.19+175.9</f>
        <v>507.09000000000003</v>
      </c>
      <c r="D208" s="4">
        <f>322.58+175.48</f>
        <v>498.05999999999995</v>
      </c>
      <c r="E208" s="3">
        <f>318.9+175.37</f>
        <v>494.27</v>
      </c>
      <c r="F208" s="63">
        <f t="shared" si="125"/>
        <v>499.80666666666667</v>
      </c>
      <c r="G208" s="108">
        <f t="shared" si="118"/>
        <v>45982.213333333333</v>
      </c>
      <c r="H208" s="3">
        <f>327.61+172</f>
        <v>499.61</v>
      </c>
      <c r="I208" s="3">
        <f>323+172.13</f>
        <v>495.13</v>
      </c>
      <c r="J208" s="3">
        <f>318.48+175.61</f>
        <v>494.09000000000003</v>
      </c>
      <c r="K208" s="63">
        <f t="shared" si="119"/>
        <v>496.27666666666664</v>
      </c>
      <c r="L208" s="108">
        <f t="shared" si="120"/>
        <v>45657.453333333331</v>
      </c>
      <c r="M208" s="3">
        <f>319.84+175.55</f>
        <v>495.39</v>
      </c>
      <c r="N208" s="87">
        <f>330.24+175.86</f>
        <v>506.1</v>
      </c>
      <c r="O208" s="87">
        <f>331.23+174.42</f>
        <v>505.65</v>
      </c>
      <c r="P208" s="63">
        <f t="shared" si="121"/>
        <v>502.37999999999994</v>
      </c>
      <c r="Q208" s="108">
        <f t="shared" si="126"/>
        <v>45716.579999999994</v>
      </c>
      <c r="R208" s="3">
        <f>329.7+170.57</f>
        <v>500.27</v>
      </c>
      <c r="S208" s="87">
        <f>327.94+175.52</f>
        <v>503.46000000000004</v>
      </c>
      <c r="T208" s="90">
        <f>332.73+174.2</f>
        <v>506.93</v>
      </c>
      <c r="U208" s="63">
        <f t="shared" si="122"/>
        <v>503.55333333333334</v>
      </c>
      <c r="V208" s="111">
        <f t="shared" si="123"/>
        <v>45823.353333333333</v>
      </c>
      <c r="W208" s="64">
        <f t="shared" si="124"/>
        <v>500.50416666666666</v>
      </c>
      <c r="X208" s="65">
        <f t="shared" si="127"/>
        <v>183184.52499999999</v>
      </c>
    </row>
    <row r="209" spans="1:24" ht="15" customHeight="1" thickBot="1" x14ac:dyDescent="0.3">
      <c r="A209" s="50" t="s">
        <v>138</v>
      </c>
      <c r="B209" s="121" t="s">
        <v>286</v>
      </c>
      <c r="C209" s="4">
        <v>120.68</v>
      </c>
      <c r="D209" s="4">
        <v>121.23</v>
      </c>
      <c r="E209" s="3">
        <v>113.67</v>
      </c>
      <c r="F209" s="63">
        <f t="shared" si="125"/>
        <v>118.52666666666669</v>
      </c>
      <c r="G209" s="108">
        <f t="shared" si="118"/>
        <v>10904.453333333335</v>
      </c>
      <c r="H209" s="3">
        <v>105.06</v>
      </c>
      <c r="I209" s="3">
        <v>105.57</v>
      </c>
      <c r="J209" s="3">
        <v>109</v>
      </c>
      <c r="K209" s="63">
        <f t="shared" si="119"/>
        <v>106.54333333333334</v>
      </c>
      <c r="L209" s="108">
        <f t="shared" si="120"/>
        <v>9801.9866666666676</v>
      </c>
      <c r="M209" s="3">
        <v>112.45</v>
      </c>
      <c r="N209" s="87">
        <v>106.83</v>
      </c>
      <c r="O209" s="87">
        <v>106</v>
      </c>
      <c r="P209" s="63">
        <f t="shared" si="121"/>
        <v>108.42666666666666</v>
      </c>
      <c r="Q209" s="108">
        <f t="shared" si="126"/>
        <v>9866.8266666666659</v>
      </c>
      <c r="R209" s="3">
        <v>107.67</v>
      </c>
      <c r="S209" s="87">
        <v>120.03</v>
      </c>
      <c r="T209" s="90">
        <v>99.17</v>
      </c>
      <c r="U209" s="63">
        <f t="shared" si="122"/>
        <v>108.95666666666666</v>
      </c>
      <c r="V209" s="111">
        <f t="shared" si="123"/>
        <v>9915.0566666666655</v>
      </c>
      <c r="W209" s="64">
        <f t="shared" si="124"/>
        <v>110.61333333333334</v>
      </c>
      <c r="X209" s="65">
        <f t="shared" si="127"/>
        <v>40484.480000000003</v>
      </c>
    </row>
    <row r="210" spans="1:24" ht="15" customHeight="1" thickBot="1" x14ac:dyDescent="0.3">
      <c r="A210" s="49" t="s">
        <v>19</v>
      </c>
      <c r="B210" s="43" t="s">
        <v>287</v>
      </c>
      <c r="C210" s="126">
        <v>551.65</v>
      </c>
      <c r="D210" s="126">
        <v>551.80999999999995</v>
      </c>
      <c r="E210" s="118">
        <v>550.92999999999995</v>
      </c>
      <c r="F210" s="63">
        <f t="shared" si="125"/>
        <v>551.46333333333325</v>
      </c>
      <c r="G210" s="108">
        <f t="shared" si="118"/>
        <v>50734.626666666656</v>
      </c>
      <c r="H210" s="118">
        <v>549.35</v>
      </c>
      <c r="I210" s="3">
        <v>529.70000000000005</v>
      </c>
      <c r="J210" s="118">
        <v>529.61</v>
      </c>
      <c r="K210" s="63">
        <f t="shared" si="119"/>
        <v>536.22000000000014</v>
      </c>
      <c r="L210" s="111">
        <f t="shared" si="120"/>
        <v>49332.240000000013</v>
      </c>
      <c r="M210" s="3">
        <v>538.05999999999995</v>
      </c>
      <c r="N210" s="86">
        <v>543.48</v>
      </c>
      <c r="O210" s="86">
        <v>551.74</v>
      </c>
      <c r="P210" s="63">
        <f t="shared" si="121"/>
        <v>544.42666666666662</v>
      </c>
      <c r="Q210" s="108">
        <f t="shared" si="126"/>
        <v>49542.82666666666</v>
      </c>
      <c r="R210" s="3">
        <v>543.47</v>
      </c>
      <c r="S210" s="86">
        <v>529.97</v>
      </c>
      <c r="T210" s="89">
        <v>523</v>
      </c>
      <c r="U210" s="63">
        <f t="shared" si="122"/>
        <v>532.14666666666665</v>
      </c>
      <c r="V210" s="111">
        <f t="shared" si="123"/>
        <v>48425.346666666665</v>
      </c>
      <c r="W210" s="64">
        <f t="shared" si="124"/>
        <v>541.06416666666667</v>
      </c>
      <c r="X210" s="65">
        <f t="shared" si="127"/>
        <v>198029.48499999999</v>
      </c>
    </row>
    <row r="211" spans="1:24" ht="15" customHeight="1" thickBot="1" x14ac:dyDescent="0.3">
      <c r="A211" s="51" t="s">
        <v>431</v>
      </c>
      <c r="B211" s="44" t="s">
        <v>432</v>
      </c>
      <c r="C211" s="4">
        <f>285.81+107.84</f>
        <v>393.65</v>
      </c>
      <c r="D211" s="4">
        <f>287.16+113.58</f>
        <v>400.74</v>
      </c>
      <c r="E211" s="3">
        <f>284.47+111.63</f>
        <v>396.1</v>
      </c>
      <c r="F211" s="63">
        <f t="shared" si="125"/>
        <v>396.83</v>
      </c>
      <c r="G211" s="108">
        <f t="shared" si="118"/>
        <v>36508.36</v>
      </c>
      <c r="H211" s="3">
        <f>299.16+112.35</f>
        <v>411.51</v>
      </c>
      <c r="I211" s="3">
        <f>341.37+105.6</f>
        <v>446.97</v>
      </c>
      <c r="J211" s="3">
        <f>344.65+95.77</f>
        <v>440.41999999999996</v>
      </c>
      <c r="K211" s="63">
        <f t="shared" si="119"/>
        <v>432.9666666666667</v>
      </c>
      <c r="L211" s="108">
        <f t="shared" si="120"/>
        <v>39832.933333333334</v>
      </c>
      <c r="M211" s="3">
        <f>328.74+99.97</f>
        <v>428.71000000000004</v>
      </c>
      <c r="N211" s="87">
        <f>333.17+106.07</f>
        <v>439.24</v>
      </c>
      <c r="O211" s="87">
        <f>345.52+106.03</f>
        <v>451.54999999999995</v>
      </c>
      <c r="P211" s="63">
        <f t="shared" si="121"/>
        <v>439.83333333333331</v>
      </c>
      <c r="Q211" s="108">
        <f t="shared" si="126"/>
        <v>40024.833333333328</v>
      </c>
      <c r="R211" s="3">
        <f>347.6+105</f>
        <v>452.6</v>
      </c>
      <c r="S211" s="87">
        <f>347.58+104.77</f>
        <v>452.34999999999997</v>
      </c>
      <c r="T211" s="90">
        <f>351.17+100.23</f>
        <v>451.40000000000003</v>
      </c>
      <c r="U211" s="63">
        <f t="shared" si="122"/>
        <v>452.11666666666673</v>
      </c>
      <c r="V211" s="111">
        <f t="shared" si="123"/>
        <v>41142.616666666676</v>
      </c>
      <c r="W211" s="64">
        <f t="shared" si="124"/>
        <v>430.43666666666672</v>
      </c>
      <c r="X211" s="65">
        <f t="shared" si="127"/>
        <v>157539.82</v>
      </c>
    </row>
    <row r="212" spans="1:24" ht="15" customHeight="1" thickBot="1" x14ac:dyDescent="0.3">
      <c r="A212" s="50" t="s">
        <v>130</v>
      </c>
      <c r="B212" s="44" t="s">
        <v>433</v>
      </c>
      <c r="C212" s="4">
        <v>162.61000000000001</v>
      </c>
      <c r="D212" s="4">
        <v>166.97</v>
      </c>
      <c r="E212" s="3">
        <v>165.5</v>
      </c>
      <c r="F212" s="63">
        <f t="shared" si="125"/>
        <v>165.02666666666667</v>
      </c>
      <c r="G212" s="108">
        <f t="shared" si="118"/>
        <v>15182.453333333333</v>
      </c>
      <c r="H212" s="3">
        <v>168.68</v>
      </c>
      <c r="I212" s="3">
        <v>154.5</v>
      </c>
      <c r="J212" s="3">
        <v>144.74</v>
      </c>
      <c r="K212" s="63">
        <f t="shared" si="119"/>
        <v>155.97333333333333</v>
      </c>
      <c r="L212" s="108">
        <f t="shared" si="120"/>
        <v>14349.546666666667</v>
      </c>
      <c r="M212" s="3">
        <v>137.16</v>
      </c>
      <c r="N212" s="87">
        <v>150.28</v>
      </c>
      <c r="O212" s="87">
        <v>156.71</v>
      </c>
      <c r="P212" s="63">
        <f t="shared" si="121"/>
        <v>148.04999999999998</v>
      </c>
      <c r="Q212" s="108">
        <f t="shared" si="126"/>
        <v>13472.55</v>
      </c>
      <c r="R212" s="3">
        <v>153.63</v>
      </c>
      <c r="S212" s="87">
        <v>147.06</v>
      </c>
      <c r="T212" s="90">
        <v>151.37</v>
      </c>
      <c r="U212" s="63">
        <f t="shared" si="122"/>
        <v>150.68666666666667</v>
      </c>
      <c r="V212" s="111">
        <f t="shared" si="123"/>
        <v>13712.486666666668</v>
      </c>
      <c r="W212" s="64">
        <f t="shared" si="124"/>
        <v>154.93416666666667</v>
      </c>
      <c r="X212" s="65">
        <f t="shared" si="127"/>
        <v>56705.904999999999</v>
      </c>
    </row>
    <row r="213" spans="1:24" ht="15" customHeight="1" thickBot="1" x14ac:dyDescent="0.3">
      <c r="A213" s="50" t="s">
        <v>131</v>
      </c>
      <c r="B213" s="34"/>
      <c r="C213" s="4">
        <v>0</v>
      </c>
      <c r="D213" s="4">
        <v>0</v>
      </c>
      <c r="E213" s="18"/>
      <c r="F213" s="67">
        <f t="shared" si="125"/>
        <v>0</v>
      </c>
      <c r="G213" s="108">
        <f t="shared" si="118"/>
        <v>0</v>
      </c>
      <c r="H213" s="18"/>
      <c r="I213" s="18"/>
      <c r="J213" s="18"/>
      <c r="K213" s="67">
        <f t="shared" si="119"/>
        <v>0</v>
      </c>
      <c r="L213" s="108">
        <f t="shared" si="120"/>
        <v>0</v>
      </c>
      <c r="M213" s="18"/>
      <c r="N213" s="4"/>
      <c r="O213" s="87"/>
      <c r="P213" s="67">
        <f t="shared" si="121"/>
        <v>0</v>
      </c>
      <c r="Q213" s="108">
        <f>P213*90</f>
        <v>0</v>
      </c>
      <c r="R213" s="3"/>
      <c r="S213" s="3"/>
      <c r="T213" s="4"/>
      <c r="U213" s="67">
        <f t="shared" si="122"/>
        <v>0</v>
      </c>
      <c r="V213" s="112">
        <f t="shared" si="123"/>
        <v>0</v>
      </c>
      <c r="W213" s="137">
        <f t="shared" si="124"/>
        <v>0</v>
      </c>
      <c r="X213" s="65">
        <f>W213*365</f>
        <v>0</v>
      </c>
    </row>
    <row r="214" spans="1:24" ht="15" customHeight="1" thickBot="1" x14ac:dyDescent="0.3">
      <c r="A214" s="46" t="s">
        <v>139</v>
      </c>
      <c r="B214" s="35"/>
      <c r="C214" s="80">
        <f>SUM(C200:C213)</f>
        <v>3869.1900000000005</v>
      </c>
      <c r="D214" s="80">
        <f>SUM(D200:D213)</f>
        <v>3855.89</v>
      </c>
      <c r="E214" s="80">
        <f>SUM(E200:E213)</f>
        <v>3885.8699999999994</v>
      </c>
      <c r="F214" s="68">
        <f>SUM(C214:E214)/3</f>
        <v>3870.3166666666662</v>
      </c>
      <c r="G214" s="108">
        <f>F214*92</f>
        <v>356069.1333333333</v>
      </c>
      <c r="H214" s="94">
        <f>SUM(H200:H213)</f>
        <v>3931.4600000000005</v>
      </c>
      <c r="I214" s="80">
        <f>SUM(I200:I213)</f>
        <v>3837.5700000000006</v>
      </c>
      <c r="J214" s="80">
        <f>SUM(J200:J213)</f>
        <v>3724.4400000000005</v>
      </c>
      <c r="K214" s="68">
        <f t="shared" si="119"/>
        <v>3831.1566666666672</v>
      </c>
      <c r="L214" s="119">
        <f t="shared" si="120"/>
        <v>352466.41333333339</v>
      </c>
      <c r="M214" s="9">
        <f>SUM(M200:M213)</f>
        <v>3772.2599999999993</v>
      </c>
      <c r="N214" s="80">
        <f>SUM(N200:N213)</f>
        <v>3860.28</v>
      </c>
      <c r="O214" s="80">
        <f>SUM(O200:O213)</f>
        <v>3890.1000000000004</v>
      </c>
      <c r="P214" s="68">
        <f t="shared" si="121"/>
        <v>3840.8799999999997</v>
      </c>
      <c r="Q214" s="119">
        <f>P214*91</f>
        <v>349520.07999999996</v>
      </c>
      <c r="R214" s="94">
        <f>SUM(R200:R213)</f>
        <v>3886.3399999999997</v>
      </c>
      <c r="S214" s="80">
        <f>SUM(S200:S213)</f>
        <v>3875.71</v>
      </c>
      <c r="T214" s="81">
        <f>SUM(T200:T213)</f>
        <v>3844.6</v>
      </c>
      <c r="U214" s="68">
        <f t="shared" si="122"/>
        <v>3868.8833333333332</v>
      </c>
      <c r="V214" s="120">
        <f t="shared" si="123"/>
        <v>352068.3833333333</v>
      </c>
      <c r="W214" s="138">
        <f t="shared" si="124"/>
        <v>3852.809166666666</v>
      </c>
      <c r="X214" s="69">
        <f>SUM(X200:X213)</f>
        <v>1410128.1550000003</v>
      </c>
    </row>
    <row r="215" spans="1:24" ht="27.75" customHeight="1" thickBot="1" x14ac:dyDescent="0.3">
      <c r="A215" s="46" t="s">
        <v>140</v>
      </c>
      <c r="B215" s="35"/>
      <c r="C215" s="70"/>
      <c r="D215" s="70"/>
      <c r="E215" s="71"/>
      <c r="F215" s="98"/>
      <c r="G215" s="98"/>
      <c r="H215" s="72"/>
      <c r="I215" s="70" t="s">
        <v>236</v>
      </c>
      <c r="J215" s="71"/>
      <c r="K215" s="97"/>
      <c r="L215" s="97"/>
      <c r="M215" s="72"/>
      <c r="N215" s="70"/>
      <c r="O215" s="71"/>
      <c r="P215" s="97"/>
      <c r="Q215" s="97"/>
      <c r="R215" s="72"/>
      <c r="S215" s="70"/>
      <c r="T215" s="71"/>
      <c r="U215" s="71"/>
      <c r="V215" s="70"/>
      <c r="W215" s="557"/>
      <c r="X215" s="69" t="s">
        <v>0</v>
      </c>
    </row>
    <row r="216" spans="1:24" ht="15" customHeight="1" thickBot="1" x14ac:dyDescent="0.3">
      <c r="A216" s="500" t="s">
        <v>132</v>
      </c>
      <c r="B216" s="501">
        <v>779</v>
      </c>
      <c r="C216" s="502">
        <v>740</v>
      </c>
      <c r="D216" s="502">
        <v>749.84</v>
      </c>
      <c r="E216" s="502">
        <v>737.57</v>
      </c>
      <c r="F216" s="503">
        <f t="shared" ref="F216:F222" si="128">SUM(C216:E216)/3</f>
        <v>742.47000000000014</v>
      </c>
      <c r="G216" s="504">
        <f t="shared" ref="G216:G222" si="129">F216*92</f>
        <v>68307.24000000002</v>
      </c>
      <c r="H216" s="502">
        <v>743</v>
      </c>
      <c r="I216" s="502">
        <v>733.03</v>
      </c>
      <c r="J216" s="502">
        <v>738</v>
      </c>
      <c r="K216" s="503">
        <f t="shared" ref="K216:K223" si="130">SUM(H216:J216)/3</f>
        <v>738.00999999999988</v>
      </c>
      <c r="L216" s="504">
        <f t="shared" ref="L216:L222" si="131">K216*92</f>
        <v>67896.919999999984</v>
      </c>
      <c r="M216" s="502">
        <v>727.32</v>
      </c>
      <c r="N216" s="505">
        <v>744.34</v>
      </c>
      <c r="O216" s="505">
        <v>748.45</v>
      </c>
      <c r="P216" s="503">
        <f t="shared" ref="P216:P223" si="132">SUM(M216:O216)/3</f>
        <v>740.03666666666675</v>
      </c>
      <c r="Q216" s="504">
        <f t="shared" ref="Q216:Q222" si="133">P216*91</f>
        <v>67343.33666666667</v>
      </c>
      <c r="R216" s="502">
        <v>744.97</v>
      </c>
      <c r="S216" s="505">
        <v>744.97</v>
      </c>
      <c r="T216" s="506">
        <v>740.87</v>
      </c>
      <c r="U216" s="503">
        <f t="shared" ref="U216:U223" si="134">SUM(R216:T216)/3</f>
        <v>743.60333333333335</v>
      </c>
      <c r="V216" s="507">
        <f t="shared" ref="V216:V222" si="135">U216*91</f>
        <v>67667.903333333335</v>
      </c>
      <c r="W216" s="508">
        <f t="shared" ref="W216:W221" si="136">SUM(C216+D216+E216+H216+I216+J216+M216+N216+O216+R216+S216+T216)/12</f>
        <v>741.03000000000009</v>
      </c>
      <c r="X216" s="509">
        <f t="shared" ref="X216:X221" si="137">W216*366</f>
        <v>271216.98000000004</v>
      </c>
    </row>
    <row r="217" spans="1:24" ht="15" customHeight="1" thickBot="1" x14ac:dyDescent="0.3">
      <c r="A217" s="50" t="s">
        <v>133</v>
      </c>
      <c r="B217" s="496">
        <v>35</v>
      </c>
      <c r="C217" s="5">
        <f>12.39+5.77</f>
        <v>18.16</v>
      </c>
      <c r="D217" s="5">
        <f>10.52+5</f>
        <v>15.52</v>
      </c>
      <c r="E217" s="5">
        <f>10+4.53</f>
        <v>14.530000000000001</v>
      </c>
      <c r="F217" s="63">
        <f t="shared" si="128"/>
        <v>16.07</v>
      </c>
      <c r="G217" s="108">
        <f t="shared" si="129"/>
        <v>1478.44</v>
      </c>
      <c r="H217" s="5">
        <f>9.55+4.23</f>
        <v>13.780000000000001</v>
      </c>
      <c r="I217" s="5">
        <f>9+5</f>
        <v>14</v>
      </c>
      <c r="J217" s="5">
        <f>9+4.16</f>
        <v>13.16</v>
      </c>
      <c r="K217" s="63">
        <f t="shared" si="130"/>
        <v>13.646666666666667</v>
      </c>
      <c r="L217" s="108">
        <f t="shared" si="131"/>
        <v>1255.4933333333333</v>
      </c>
      <c r="M217" s="5">
        <f>11.71+3</f>
        <v>14.71</v>
      </c>
      <c r="N217" s="75">
        <f>10.86+2.97</f>
        <v>13.83</v>
      </c>
      <c r="O217" s="75">
        <f>2+8.74</f>
        <v>10.74</v>
      </c>
      <c r="P217" s="63">
        <f t="shared" si="132"/>
        <v>13.093333333333334</v>
      </c>
      <c r="Q217" s="108">
        <f t="shared" si="133"/>
        <v>1191.4933333333333</v>
      </c>
      <c r="R217" s="5">
        <f>2.7+8.23</f>
        <v>10.93</v>
      </c>
      <c r="S217" s="75">
        <f>2.7+8.23</f>
        <v>10.93</v>
      </c>
      <c r="T217" s="76">
        <f>4+5.8</f>
        <v>9.8000000000000007</v>
      </c>
      <c r="U217" s="63">
        <f t="shared" si="134"/>
        <v>10.553333333333333</v>
      </c>
      <c r="V217" s="111">
        <f t="shared" si="135"/>
        <v>960.35333333333324</v>
      </c>
      <c r="W217" s="64">
        <f t="shared" si="136"/>
        <v>13.340833333333336</v>
      </c>
      <c r="X217" s="66">
        <f t="shared" si="137"/>
        <v>4882.7450000000008</v>
      </c>
    </row>
    <row r="218" spans="1:24" ht="15" customHeight="1" thickBot="1" x14ac:dyDescent="0.3">
      <c r="A218" s="50" t="s">
        <v>135</v>
      </c>
      <c r="B218" s="496">
        <v>26</v>
      </c>
      <c r="C218" s="5">
        <v>19</v>
      </c>
      <c r="D218" s="5">
        <v>17</v>
      </c>
      <c r="E218" s="5">
        <v>17</v>
      </c>
      <c r="F218" s="63">
        <f t="shared" si="128"/>
        <v>17.666666666666668</v>
      </c>
      <c r="G218" s="108">
        <f t="shared" si="129"/>
        <v>1625.3333333333335</v>
      </c>
      <c r="H218" s="5">
        <v>14</v>
      </c>
      <c r="I218" s="5">
        <v>13</v>
      </c>
      <c r="J218" s="5">
        <v>12</v>
      </c>
      <c r="K218" s="63">
        <f t="shared" si="130"/>
        <v>13</v>
      </c>
      <c r="L218" s="108">
        <f t="shared" si="131"/>
        <v>1196</v>
      </c>
      <c r="M218" s="5">
        <v>12</v>
      </c>
      <c r="N218" s="75">
        <v>13</v>
      </c>
      <c r="O218" s="75">
        <v>14</v>
      </c>
      <c r="P218" s="63">
        <f t="shared" si="132"/>
        <v>13</v>
      </c>
      <c r="Q218" s="108">
        <f t="shared" si="133"/>
        <v>1183</v>
      </c>
      <c r="R218" s="5">
        <v>15</v>
      </c>
      <c r="S218" s="75">
        <v>15</v>
      </c>
      <c r="T218" s="76">
        <v>17</v>
      </c>
      <c r="U218" s="63">
        <f t="shared" si="134"/>
        <v>15.666666666666666</v>
      </c>
      <c r="V218" s="111">
        <f t="shared" si="135"/>
        <v>1425.6666666666665</v>
      </c>
      <c r="W218" s="64">
        <f t="shared" si="136"/>
        <v>14.833333333333334</v>
      </c>
      <c r="X218" s="65">
        <f t="shared" si="137"/>
        <v>5429</v>
      </c>
    </row>
    <row r="219" spans="1:24" ht="15" customHeight="1" thickBot="1" x14ac:dyDescent="0.3">
      <c r="A219" s="50" t="s">
        <v>134</v>
      </c>
      <c r="B219" s="496" t="s">
        <v>434</v>
      </c>
      <c r="C219" s="5">
        <v>320</v>
      </c>
      <c r="D219" s="5">
        <v>347</v>
      </c>
      <c r="E219" s="5">
        <v>374</v>
      </c>
      <c r="F219" s="63">
        <f t="shared" si="128"/>
        <v>347</v>
      </c>
      <c r="G219" s="108">
        <f t="shared" si="129"/>
        <v>31924</v>
      </c>
      <c r="H219" s="5">
        <v>348</v>
      </c>
      <c r="I219" s="5">
        <v>349</v>
      </c>
      <c r="J219" s="5">
        <v>354</v>
      </c>
      <c r="K219" s="63">
        <f t="shared" si="130"/>
        <v>350.33333333333331</v>
      </c>
      <c r="L219" s="108">
        <f t="shared" si="131"/>
        <v>32230.666666666664</v>
      </c>
      <c r="M219" s="5">
        <v>370</v>
      </c>
      <c r="N219" s="75">
        <v>358</v>
      </c>
      <c r="O219" s="75">
        <v>352</v>
      </c>
      <c r="P219" s="63">
        <f t="shared" si="132"/>
        <v>360</v>
      </c>
      <c r="Q219" s="108">
        <f t="shared" si="133"/>
        <v>32760</v>
      </c>
      <c r="R219" s="5">
        <v>351</v>
      </c>
      <c r="S219" s="75">
        <v>351</v>
      </c>
      <c r="T219" s="76">
        <v>322</v>
      </c>
      <c r="U219" s="63">
        <f t="shared" si="134"/>
        <v>341.33333333333331</v>
      </c>
      <c r="V219" s="111">
        <f t="shared" si="135"/>
        <v>31061.333333333332</v>
      </c>
      <c r="W219" s="64">
        <f t="shared" si="136"/>
        <v>349.66666666666669</v>
      </c>
      <c r="X219" s="66">
        <f t="shared" si="137"/>
        <v>127978</v>
      </c>
    </row>
    <row r="220" spans="1:24" ht="15" customHeight="1" thickBot="1" x14ac:dyDescent="0.3">
      <c r="A220" s="50" t="s">
        <v>339</v>
      </c>
      <c r="B220" s="496">
        <v>1050</v>
      </c>
      <c r="C220" s="5">
        <v>1006</v>
      </c>
      <c r="D220" s="5">
        <v>1018</v>
      </c>
      <c r="E220" s="5">
        <v>1021</v>
      </c>
      <c r="F220" s="63">
        <f t="shared" si="128"/>
        <v>1015</v>
      </c>
      <c r="G220" s="108">
        <f t="shared" si="129"/>
        <v>93380</v>
      </c>
      <c r="H220" s="5">
        <v>1020</v>
      </c>
      <c r="I220" s="5">
        <v>1048</v>
      </c>
      <c r="J220" s="5">
        <v>1047</v>
      </c>
      <c r="K220" s="63">
        <f t="shared" si="130"/>
        <v>1038.3333333333333</v>
      </c>
      <c r="L220" s="108">
        <f t="shared" si="131"/>
        <v>95526.666666666657</v>
      </c>
      <c r="M220" s="5">
        <v>1047</v>
      </c>
      <c r="N220" s="75">
        <v>1048</v>
      </c>
      <c r="O220" s="75">
        <v>1047</v>
      </c>
      <c r="P220" s="63">
        <f t="shared" si="132"/>
        <v>1047.3333333333333</v>
      </c>
      <c r="Q220" s="108">
        <f t="shared" si="133"/>
        <v>95307.333333333328</v>
      </c>
      <c r="R220" s="5">
        <v>1044</v>
      </c>
      <c r="S220" s="75">
        <v>1044</v>
      </c>
      <c r="T220" s="76">
        <v>1028</v>
      </c>
      <c r="U220" s="63">
        <f t="shared" si="134"/>
        <v>1038.6666666666667</v>
      </c>
      <c r="V220" s="111">
        <f t="shared" si="135"/>
        <v>94518.666666666672</v>
      </c>
      <c r="W220" s="64">
        <f t="shared" si="136"/>
        <v>1034.8333333333333</v>
      </c>
      <c r="X220" s="65">
        <f t="shared" si="137"/>
        <v>378749</v>
      </c>
    </row>
    <row r="221" spans="1:24" ht="15" customHeight="1" thickBot="1" x14ac:dyDescent="0.3">
      <c r="A221" s="50" t="s">
        <v>137</v>
      </c>
      <c r="B221" s="496" t="s">
        <v>434</v>
      </c>
      <c r="C221" s="5">
        <v>16</v>
      </c>
      <c r="D221" s="5">
        <v>17</v>
      </c>
      <c r="E221" s="5">
        <v>17</v>
      </c>
      <c r="F221" s="63">
        <f t="shared" si="128"/>
        <v>16.666666666666668</v>
      </c>
      <c r="G221" s="108">
        <f t="shared" si="129"/>
        <v>1533.3333333333335</v>
      </c>
      <c r="H221" s="5">
        <v>17</v>
      </c>
      <c r="I221" s="5">
        <v>17</v>
      </c>
      <c r="J221" s="5">
        <v>17</v>
      </c>
      <c r="K221" s="63">
        <f t="shared" si="130"/>
        <v>17</v>
      </c>
      <c r="L221" s="108">
        <f t="shared" si="131"/>
        <v>1564</v>
      </c>
      <c r="M221" s="5">
        <v>17</v>
      </c>
      <c r="N221" s="75">
        <v>17</v>
      </c>
      <c r="O221" s="75">
        <v>17</v>
      </c>
      <c r="P221" s="63">
        <f t="shared" si="132"/>
        <v>17</v>
      </c>
      <c r="Q221" s="108">
        <f t="shared" si="133"/>
        <v>1547</v>
      </c>
      <c r="R221" s="5">
        <v>17</v>
      </c>
      <c r="S221" s="75">
        <v>17</v>
      </c>
      <c r="T221" s="76">
        <v>17</v>
      </c>
      <c r="U221" s="63">
        <f t="shared" si="134"/>
        <v>17</v>
      </c>
      <c r="V221" s="112">
        <f t="shared" si="135"/>
        <v>1547</v>
      </c>
      <c r="W221" s="64">
        <f t="shared" si="136"/>
        <v>16.916666666666668</v>
      </c>
      <c r="X221" s="66">
        <f t="shared" si="137"/>
        <v>6191.5</v>
      </c>
    </row>
    <row r="222" spans="1:24" ht="15" customHeight="1" thickBot="1" x14ac:dyDescent="0.3">
      <c r="A222" s="53" t="s">
        <v>141</v>
      </c>
      <c r="B222" s="37"/>
      <c r="C222" s="80">
        <f>SUM(C216:C221)</f>
        <v>2119.16</v>
      </c>
      <c r="D222" s="80">
        <f>SUM(D216:D221)</f>
        <v>2164.36</v>
      </c>
      <c r="E222" s="80">
        <f>SUM(E216:E221)</f>
        <v>2181.1</v>
      </c>
      <c r="F222" s="68">
        <f t="shared" si="128"/>
        <v>2154.8733333333334</v>
      </c>
      <c r="G222" s="108">
        <f t="shared" si="129"/>
        <v>198248.34666666668</v>
      </c>
      <c r="H222" s="94">
        <f>SUM(H216:H221)</f>
        <v>2155.7799999999997</v>
      </c>
      <c r="I222" s="80">
        <f>SUM(I216:I221)</f>
        <v>2174.0299999999997</v>
      </c>
      <c r="J222" s="80">
        <f>SUM(J216:J221)</f>
        <v>2181.16</v>
      </c>
      <c r="K222" s="68">
        <f t="shared" si="130"/>
        <v>2170.3233333333333</v>
      </c>
      <c r="L222" s="119">
        <f t="shared" si="131"/>
        <v>199669.74666666667</v>
      </c>
      <c r="M222" s="94">
        <f>SUM(M216:M221)</f>
        <v>2188.0300000000002</v>
      </c>
      <c r="N222" s="80">
        <f>SUM(N216:N221)</f>
        <v>2194.17</v>
      </c>
      <c r="O222" s="80">
        <f>SUM(O216:O221)</f>
        <v>2189.19</v>
      </c>
      <c r="P222" s="68">
        <f t="shared" si="132"/>
        <v>2190.4633333333336</v>
      </c>
      <c r="Q222" s="108">
        <f t="shared" si="133"/>
        <v>199332.16333333336</v>
      </c>
      <c r="R222" s="94">
        <f>SUM(R216:R221)</f>
        <v>2182.9</v>
      </c>
      <c r="S222" s="80">
        <f>SUM(S216:S221)</f>
        <v>2182.9</v>
      </c>
      <c r="T222" s="81">
        <f>SUM(T216:T221)</f>
        <v>2134.67</v>
      </c>
      <c r="U222" s="68">
        <f t="shared" si="134"/>
        <v>2166.8233333333333</v>
      </c>
      <c r="V222" s="120">
        <f t="shared" si="135"/>
        <v>197180.92333333334</v>
      </c>
      <c r="W222" s="69">
        <f>SUM(W216:W221)</f>
        <v>2170.6208333333329</v>
      </c>
      <c r="X222" s="69">
        <f>SUM(X216:X221)</f>
        <v>794447.22500000009</v>
      </c>
    </row>
    <row r="223" spans="1:24" ht="15" customHeight="1" thickBot="1" x14ac:dyDescent="0.3">
      <c r="A223" s="54" t="s">
        <v>145</v>
      </c>
      <c r="B223" s="38"/>
      <c r="C223" s="80">
        <f>C214+C222</f>
        <v>5988.35</v>
      </c>
      <c r="D223" s="80">
        <f>D214+D222</f>
        <v>6020.25</v>
      </c>
      <c r="E223" s="80">
        <f>E214+E222</f>
        <v>6066.9699999999993</v>
      </c>
      <c r="F223" s="80">
        <f>F214+F222</f>
        <v>6025.19</v>
      </c>
      <c r="G223" s="68">
        <f>SUM(G214+G222)</f>
        <v>554317.48</v>
      </c>
      <c r="H223" s="80">
        <f>H214+H222</f>
        <v>6087.24</v>
      </c>
      <c r="I223" s="80">
        <f>I214+I222</f>
        <v>6011.6</v>
      </c>
      <c r="J223" s="80">
        <f>J214+J222</f>
        <v>5905.6</v>
      </c>
      <c r="K223" s="120">
        <f t="shared" si="130"/>
        <v>6001.4800000000005</v>
      </c>
      <c r="L223" s="68">
        <f>SUM(L214+L222)</f>
        <v>552136.16</v>
      </c>
      <c r="M223" s="94">
        <f>M214+M222</f>
        <v>5960.2899999999991</v>
      </c>
      <c r="N223" s="80">
        <f>N214+N222</f>
        <v>6054.4500000000007</v>
      </c>
      <c r="O223" s="80">
        <f>O214+O222</f>
        <v>6079.2900000000009</v>
      </c>
      <c r="P223" s="99">
        <f t="shared" si="132"/>
        <v>6031.3433333333332</v>
      </c>
      <c r="Q223" s="68">
        <f>SUM(Q214+Q222)</f>
        <v>548852.24333333329</v>
      </c>
      <c r="R223" s="94">
        <f>R214+R222</f>
        <v>6069.24</v>
      </c>
      <c r="S223" s="80">
        <f>S214+S222</f>
        <v>6058.6100000000006</v>
      </c>
      <c r="T223" s="81">
        <f>T214+T222</f>
        <v>5979.27</v>
      </c>
      <c r="U223" s="99">
        <f t="shared" si="134"/>
        <v>6035.7066666666678</v>
      </c>
      <c r="V223" s="68">
        <f>SUM(V214+V222)</f>
        <v>549249.30666666664</v>
      </c>
      <c r="W223" s="80">
        <f>W214+W222</f>
        <v>6023.4299999999985</v>
      </c>
      <c r="X223" s="82">
        <f>X214+X222</f>
        <v>2204575.3800000004</v>
      </c>
    </row>
    <row r="225" spans="1:24" ht="16.5" thickBot="1" x14ac:dyDescent="0.25">
      <c r="A225" s="45" t="s">
        <v>144</v>
      </c>
      <c r="B225" s="10"/>
      <c r="C225" s="13"/>
      <c r="D225" s="13"/>
      <c r="E225" s="13"/>
      <c r="F225" s="13"/>
      <c r="G225" s="13"/>
      <c r="H225" s="13"/>
      <c r="I225" s="13"/>
      <c r="J225" s="13"/>
      <c r="K225" s="13"/>
      <c r="L225" s="13"/>
      <c r="M225" s="13"/>
      <c r="N225" s="13"/>
      <c r="O225" s="13"/>
      <c r="P225" s="13"/>
      <c r="Q225" s="13"/>
      <c r="R225" s="13"/>
      <c r="S225" s="13"/>
      <c r="T225" s="13"/>
      <c r="U225" s="13"/>
      <c r="V225" s="13"/>
      <c r="W225" s="13"/>
      <c r="X225" s="13"/>
    </row>
    <row r="226" spans="1:24" ht="16.5" thickBot="1" x14ac:dyDescent="0.3">
      <c r="A226" s="154" t="s">
        <v>338</v>
      </c>
      <c r="B226" s="1055" t="s">
        <v>142</v>
      </c>
      <c r="C226" s="1056"/>
      <c r="D226" s="1056"/>
      <c r="E226" s="1056"/>
      <c r="F226" s="1056"/>
      <c r="G226" s="1056"/>
      <c r="H226" s="1056"/>
      <c r="I226" s="1056"/>
      <c r="J226" s="1056"/>
      <c r="K226" s="1056"/>
      <c r="L226" s="1056"/>
      <c r="M226" s="1056"/>
      <c r="N226" s="1056"/>
      <c r="O226" s="1056"/>
      <c r="P226" s="1056"/>
      <c r="Q226" s="1056"/>
      <c r="R226" s="1056"/>
      <c r="S226" s="1056"/>
      <c r="T226" s="1056"/>
      <c r="U226" s="39"/>
      <c r="V226" s="39"/>
      <c r="W226" s="92"/>
      <c r="X226" s="13"/>
    </row>
    <row r="227" spans="1:24" ht="24" customHeight="1" x14ac:dyDescent="0.25">
      <c r="A227" s="56"/>
      <c r="B227" s="155" t="s">
        <v>245</v>
      </c>
      <c r="C227" s="57"/>
      <c r="D227" s="58"/>
      <c r="E227" s="58"/>
      <c r="F227" s="1047" t="s">
        <v>242</v>
      </c>
      <c r="G227" s="1039" t="s">
        <v>262</v>
      </c>
      <c r="H227" s="58"/>
      <c r="I227" s="58"/>
      <c r="J227" s="58"/>
      <c r="K227" s="1047" t="s">
        <v>242</v>
      </c>
      <c r="L227" s="1039" t="s">
        <v>262</v>
      </c>
      <c r="M227" s="58"/>
      <c r="N227" s="58"/>
      <c r="O227" s="58"/>
      <c r="P227" s="1047" t="s">
        <v>242</v>
      </c>
      <c r="Q227" s="1039" t="s">
        <v>262</v>
      </c>
      <c r="R227" s="58"/>
      <c r="S227" s="58"/>
      <c r="T227" s="59"/>
      <c r="U227" s="1047" t="s">
        <v>242</v>
      </c>
      <c r="V227" s="1039" t="s">
        <v>262</v>
      </c>
      <c r="W227" s="1051" t="s">
        <v>143</v>
      </c>
      <c r="X227" s="1053" t="s">
        <v>144</v>
      </c>
    </row>
    <row r="228" spans="1:24" ht="24" customHeight="1" thickBot="1" x14ac:dyDescent="0.3">
      <c r="A228" s="47" t="s">
        <v>55</v>
      </c>
      <c r="B228" s="156" t="s">
        <v>246</v>
      </c>
      <c r="C228" s="60">
        <v>40368</v>
      </c>
      <c r="D228" s="61">
        <v>40399</v>
      </c>
      <c r="E228" s="61">
        <v>40430</v>
      </c>
      <c r="F228" s="1048"/>
      <c r="G228" s="1040"/>
      <c r="H228" s="61">
        <v>40460</v>
      </c>
      <c r="I228" s="61">
        <v>40491</v>
      </c>
      <c r="J228" s="61">
        <v>40521</v>
      </c>
      <c r="K228" s="1048"/>
      <c r="L228" s="1040"/>
      <c r="M228" s="61">
        <v>40544</v>
      </c>
      <c r="N228" s="61">
        <v>40575</v>
      </c>
      <c r="O228" s="61">
        <v>40603</v>
      </c>
      <c r="P228" s="1048"/>
      <c r="Q228" s="1040"/>
      <c r="R228" s="61">
        <v>40634</v>
      </c>
      <c r="S228" s="61">
        <v>40664</v>
      </c>
      <c r="T228" s="62">
        <v>40695</v>
      </c>
      <c r="U228" s="1048"/>
      <c r="V228" s="1040"/>
      <c r="W228" s="1052"/>
      <c r="X228" s="1054"/>
    </row>
    <row r="229" spans="1:24" ht="20.25" customHeight="1" thickBot="1" x14ac:dyDescent="0.3">
      <c r="A229" s="48" t="s">
        <v>275</v>
      </c>
      <c r="B229" s="42" t="s">
        <v>280</v>
      </c>
      <c r="C229" s="125">
        <v>456.81</v>
      </c>
      <c r="D229" s="125">
        <v>460.71</v>
      </c>
      <c r="E229" s="117">
        <v>472.13</v>
      </c>
      <c r="F229" s="63">
        <f>SUM(C229:E229)/3</f>
        <v>463.2166666666667</v>
      </c>
      <c r="G229" s="108">
        <f t="shared" ref="G229:G242" si="138">F229*92</f>
        <v>42615.933333333334</v>
      </c>
      <c r="H229" s="117">
        <v>472.52</v>
      </c>
      <c r="I229" s="117">
        <v>457.53</v>
      </c>
      <c r="J229" s="117">
        <v>430.94</v>
      </c>
      <c r="K229" s="63">
        <f t="shared" ref="K229:K243" si="139">SUM(H229:J229)/3</f>
        <v>453.66333333333336</v>
      </c>
      <c r="L229" s="108">
        <f t="shared" ref="L229:L243" si="140">K229*92</f>
        <v>41737.026666666672</v>
      </c>
      <c r="M229" s="117">
        <v>474.13</v>
      </c>
      <c r="N229" s="85">
        <v>469.61</v>
      </c>
      <c r="O229" s="85">
        <v>461.19</v>
      </c>
      <c r="P229" s="63">
        <f t="shared" ref="P229:P243" si="141">SUM(M229:O229)/3</f>
        <v>468.31</v>
      </c>
      <c r="Q229" s="108">
        <f t="shared" ref="Q229:Q243" si="142">P229*90</f>
        <v>42147.9</v>
      </c>
      <c r="R229" s="117">
        <v>481.77</v>
      </c>
      <c r="S229" s="85">
        <v>475.9</v>
      </c>
      <c r="T229" s="135">
        <v>471.03</v>
      </c>
      <c r="U229" s="63">
        <f t="shared" ref="U229:U243" si="143">SUM(R229:T229)/3</f>
        <v>476.23333333333329</v>
      </c>
      <c r="V229" s="111">
        <f t="shared" ref="V229:V243" si="144">U229*91</f>
        <v>43337.23333333333</v>
      </c>
      <c r="W229" s="64">
        <f t="shared" ref="W229:W243" si="145">SUM(C229+D229+E229+H229+I229+J229+M229+N229+O229+R229+S229+T229)/12</f>
        <v>465.35583333333329</v>
      </c>
      <c r="X229" s="65">
        <f t="shared" ref="X229:X242" si="146">W229*365</f>
        <v>169854.87916666665</v>
      </c>
    </row>
    <row r="230" spans="1:24" ht="16.5" thickBot="1" x14ac:dyDescent="0.3">
      <c r="A230" s="49" t="s">
        <v>127</v>
      </c>
      <c r="B230" s="43" t="s">
        <v>248</v>
      </c>
      <c r="C230" s="126">
        <v>121.26</v>
      </c>
      <c r="D230" s="126">
        <v>123.06</v>
      </c>
      <c r="E230" s="118">
        <v>111.3</v>
      </c>
      <c r="F230" s="63">
        <f t="shared" ref="F230:F242" si="147">SUM(C230:E230)/3</f>
        <v>118.54</v>
      </c>
      <c r="G230" s="108">
        <f t="shared" si="138"/>
        <v>10905.68</v>
      </c>
      <c r="H230" s="118">
        <v>108.71</v>
      </c>
      <c r="I230" s="118">
        <v>98.8</v>
      </c>
      <c r="J230" s="118">
        <v>104.77</v>
      </c>
      <c r="K230" s="63">
        <f t="shared" si="139"/>
        <v>104.09333333333332</v>
      </c>
      <c r="L230" s="108">
        <f t="shared" si="140"/>
        <v>9576.5866666666661</v>
      </c>
      <c r="M230" s="118">
        <v>95.32</v>
      </c>
      <c r="N230" s="86">
        <v>95.96</v>
      </c>
      <c r="O230" s="86">
        <v>110.61</v>
      </c>
      <c r="P230" s="63">
        <f t="shared" si="141"/>
        <v>100.63</v>
      </c>
      <c r="Q230" s="108">
        <f t="shared" si="142"/>
        <v>9056.6999999999989</v>
      </c>
      <c r="R230" s="118">
        <v>117.17</v>
      </c>
      <c r="S230" s="86">
        <v>134.52000000000001</v>
      </c>
      <c r="T230" s="89">
        <v>139.1</v>
      </c>
      <c r="U230" s="63">
        <f t="shared" si="143"/>
        <v>130.26333333333332</v>
      </c>
      <c r="V230" s="111">
        <f t="shared" si="144"/>
        <v>11853.963333333333</v>
      </c>
      <c r="W230" s="64">
        <f t="shared" si="145"/>
        <v>113.38166666666666</v>
      </c>
      <c r="X230" s="65">
        <f t="shared" si="146"/>
        <v>41384.308333333334</v>
      </c>
    </row>
    <row r="231" spans="1:24" ht="16.5" thickBot="1" x14ac:dyDescent="0.3">
      <c r="A231" s="50" t="s">
        <v>276</v>
      </c>
      <c r="B231" s="44" t="s">
        <v>281</v>
      </c>
      <c r="C231" s="4">
        <v>430.81</v>
      </c>
      <c r="D231" s="4">
        <v>445.16</v>
      </c>
      <c r="E231" s="3">
        <v>460.7</v>
      </c>
      <c r="F231" s="63">
        <f t="shared" si="147"/>
        <v>445.55666666666667</v>
      </c>
      <c r="G231" s="108">
        <f t="shared" si="138"/>
        <v>40991.213333333333</v>
      </c>
      <c r="H231" s="3">
        <v>463.13</v>
      </c>
      <c r="I231" s="3">
        <v>449.93</v>
      </c>
      <c r="J231" s="3">
        <v>435.58</v>
      </c>
      <c r="K231" s="63">
        <f t="shared" si="139"/>
        <v>449.54666666666662</v>
      </c>
      <c r="L231" s="108">
        <f t="shared" si="140"/>
        <v>41358.293333333328</v>
      </c>
      <c r="M231" s="3">
        <v>444.48</v>
      </c>
      <c r="N231" s="87">
        <v>449.46</v>
      </c>
      <c r="O231" s="87">
        <v>443.68</v>
      </c>
      <c r="P231" s="63">
        <f t="shared" si="141"/>
        <v>445.87333333333339</v>
      </c>
      <c r="Q231" s="108">
        <f t="shared" si="142"/>
        <v>40128.600000000006</v>
      </c>
      <c r="R231" s="3">
        <v>453.8</v>
      </c>
      <c r="S231" s="87">
        <v>463.55</v>
      </c>
      <c r="T231" s="90">
        <v>455.1</v>
      </c>
      <c r="U231" s="63">
        <f t="shared" si="143"/>
        <v>457.48333333333335</v>
      </c>
      <c r="V231" s="111">
        <f t="shared" si="144"/>
        <v>41630.983333333337</v>
      </c>
      <c r="W231" s="64">
        <f t="shared" si="145"/>
        <v>449.61500000000001</v>
      </c>
      <c r="X231" s="65">
        <f t="shared" si="146"/>
        <v>164109.47500000001</v>
      </c>
    </row>
    <row r="232" spans="1:24" ht="16.5" thickBot="1" x14ac:dyDescent="0.3">
      <c r="A232" s="50" t="s">
        <v>319</v>
      </c>
      <c r="B232" s="44" t="s">
        <v>318</v>
      </c>
      <c r="C232" s="4">
        <v>298.39999999999998</v>
      </c>
      <c r="D232" s="4">
        <v>296.68</v>
      </c>
      <c r="E232" s="3">
        <v>299.67</v>
      </c>
      <c r="F232" s="63">
        <f t="shared" si="147"/>
        <v>298.25</v>
      </c>
      <c r="G232" s="108">
        <f t="shared" si="138"/>
        <v>27439</v>
      </c>
      <c r="H232" s="3">
        <v>300.42</v>
      </c>
      <c r="I232" s="3">
        <v>271.87</v>
      </c>
      <c r="J232" s="3">
        <v>253.19</v>
      </c>
      <c r="K232" s="63">
        <f t="shared" si="139"/>
        <v>275.16000000000003</v>
      </c>
      <c r="L232" s="108">
        <f t="shared" si="140"/>
        <v>25314.720000000001</v>
      </c>
      <c r="M232" s="3">
        <v>254.74</v>
      </c>
      <c r="N232" s="87">
        <v>262.54000000000002</v>
      </c>
      <c r="O232" s="87">
        <v>264.77</v>
      </c>
      <c r="P232" s="63">
        <f t="shared" si="141"/>
        <v>260.68333333333334</v>
      </c>
      <c r="Q232" s="108">
        <f t="shared" si="142"/>
        <v>23461.5</v>
      </c>
      <c r="R232" s="3">
        <v>263.37</v>
      </c>
      <c r="S232" s="87">
        <v>277.02999999999997</v>
      </c>
      <c r="T232" s="90">
        <v>282</v>
      </c>
      <c r="U232" s="63">
        <f t="shared" si="143"/>
        <v>274.13333333333333</v>
      </c>
      <c r="V232" s="111">
        <f t="shared" si="144"/>
        <v>24946.133333333331</v>
      </c>
      <c r="W232" s="64">
        <f t="shared" si="145"/>
        <v>277.05666666666667</v>
      </c>
      <c r="X232" s="65">
        <f t="shared" si="146"/>
        <v>101125.68333333333</v>
      </c>
    </row>
    <row r="233" spans="1:24" ht="16.5" thickBot="1" x14ac:dyDescent="0.3">
      <c r="A233" s="51" t="s">
        <v>259</v>
      </c>
      <c r="B233" s="44" t="s">
        <v>283</v>
      </c>
      <c r="C233" s="4">
        <v>370.19</v>
      </c>
      <c r="D233" s="4">
        <v>397.23</v>
      </c>
      <c r="E233" s="3">
        <v>411.8</v>
      </c>
      <c r="F233" s="63">
        <f t="shared" si="147"/>
        <v>393.07333333333332</v>
      </c>
      <c r="G233" s="108">
        <f t="shared" si="138"/>
        <v>36162.746666666666</v>
      </c>
      <c r="H233" s="3">
        <v>407.19</v>
      </c>
      <c r="I233" s="3">
        <v>404.07</v>
      </c>
      <c r="J233" s="3">
        <v>389.03</v>
      </c>
      <c r="K233" s="63">
        <f t="shared" si="139"/>
        <v>400.09666666666664</v>
      </c>
      <c r="L233" s="108">
        <f t="shared" si="140"/>
        <v>36808.893333333333</v>
      </c>
      <c r="M233" s="3">
        <v>406.52</v>
      </c>
      <c r="N233" s="87">
        <v>407.54</v>
      </c>
      <c r="O233" s="87">
        <v>404.39</v>
      </c>
      <c r="P233" s="63">
        <f t="shared" si="141"/>
        <v>406.14999999999992</v>
      </c>
      <c r="Q233" s="108">
        <f t="shared" si="142"/>
        <v>36553.499999999993</v>
      </c>
      <c r="R233" s="3">
        <v>397.57</v>
      </c>
      <c r="S233" s="87">
        <v>418.29</v>
      </c>
      <c r="T233" s="90">
        <v>417.03</v>
      </c>
      <c r="U233" s="63">
        <f t="shared" si="143"/>
        <v>410.96333333333331</v>
      </c>
      <c r="V233" s="111">
        <f t="shared" si="144"/>
        <v>37397.66333333333</v>
      </c>
      <c r="W233" s="64">
        <f t="shared" si="145"/>
        <v>402.57083333333338</v>
      </c>
      <c r="X233" s="65">
        <f t="shared" si="146"/>
        <v>146938.35416666669</v>
      </c>
    </row>
    <row r="234" spans="1:24" ht="16.5" thickBot="1" x14ac:dyDescent="0.3">
      <c r="A234" s="50" t="s">
        <v>15</v>
      </c>
      <c r="B234" s="44" t="s">
        <v>252</v>
      </c>
      <c r="C234" s="4">
        <v>45.39</v>
      </c>
      <c r="D234" s="4">
        <v>51.39</v>
      </c>
      <c r="E234" s="3">
        <v>60.27</v>
      </c>
      <c r="F234" s="63">
        <f t="shared" si="147"/>
        <v>52.35</v>
      </c>
      <c r="G234" s="108">
        <f t="shared" si="138"/>
        <v>4816.2</v>
      </c>
      <c r="H234" s="3">
        <v>65.349999999999994</v>
      </c>
      <c r="I234" s="3">
        <v>66.73</v>
      </c>
      <c r="J234" s="3">
        <v>67.680000000000007</v>
      </c>
      <c r="K234" s="63">
        <f t="shared" si="139"/>
        <v>66.586666666666659</v>
      </c>
      <c r="L234" s="108">
        <f t="shared" si="140"/>
        <v>6125.9733333333324</v>
      </c>
      <c r="M234" s="3">
        <v>66.900000000000006</v>
      </c>
      <c r="N234" s="87">
        <v>71.64</v>
      </c>
      <c r="O234" s="87">
        <v>65.680000000000007</v>
      </c>
      <c r="P234" s="63">
        <f t="shared" si="141"/>
        <v>68.073333333333338</v>
      </c>
      <c r="Q234" s="108">
        <f t="shared" si="142"/>
        <v>6126.6</v>
      </c>
      <c r="R234" s="3">
        <v>61.07</v>
      </c>
      <c r="S234" s="87">
        <v>64.23</v>
      </c>
      <c r="T234" s="90">
        <v>70.83</v>
      </c>
      <c r="U234" s="63">
        <f t="shared" si="143"/>
        <v>65.376666666666665</v>
      </c>
      <c r="V234" s="111">
        <f t="shared" si="144"/>
        <v>5949.2766666666666</v>
      </c>
      <c r="W234" s="64">
        <f t="shared" si="145"/>
        <v>63.096666666666671</v>
      </c>
      <c r="X234" s="65">
        <f t="shared" si="146"/>
        <v>23030.283333333336</v>
      </c>
    </row>
    <row r="235" spans="1:24" ht="16.5" thickBot="1" x14ac:dyDescent="0.3">
      <c r="A235" s="50" t="s">
        <v>16</v>
      </c>
      <c r="B235" s="44" t="s">
        <v>284</v>
      </c>
      <c r="C235" s="4">
        <v>214.06</v>
      </c>
      <c r="D235" s="4">
        <v>227.16</v>
      </c>
      <c r="E235" s="3">
        <v>227.57</v>
      </c>
      <c r="F235" s="63">
        <f t="shared" si="147"/>
        <v>222.92999999999998</v>
      </c>
      <c r="G235" s="108">
        <f t="shared" si="138"/>
        <v>20509.559999999998</v>
      </c>
      <c r="H235" s="3">
        <v>228.48</v>
      </c>
      <c r="I235" s="3">
        <v>234.2</v>
      </c>
      <c r="J235" s="3">
        <v>219.03</v>
      </c>
      <c r="K235" s="63">
        <f t="shared" si="139"/>
        <v>227.23666666666665</v>
      </c>
      <c r="L235" s="108">
        <f t="shared" si="140"/>
        <v>20905.773333333331</v>
      </c>
      <c r="M235" s="3">
        <v>224.97</v>
      </c>
      <c r="N235" s="87">
        <v>225.39</v>
      </c>
      <c r="O235" s="87">
        <v>231.81</v>
      </c>
      <c r="P235" s="63">
        <f t="shared" si="141"/>
        <v>227.39000000000001</v>
      </c>
      <c r="Q235" s="108">
        <f t="shared" si="142"/>
        <v>20465.100000000002</v>
      </c>
      <c r="R235" s="3">
        <v>241.9</v>
      </c>
      <c r="S235" s="87">
        <v>244.45</v>
      </c>
      <c r="T235" s="90">
        <v>238.73</v>
      </c>
      <c r="U235" s="63">
        <f t="shared" si="143"/>
        <v>241.69333333333336</v>
      </c>
      <c r="V235" s="111">
        <f t="shared" si="144"/>
        <v>21994.093333333334</v>
      </c>
      <c r="W235" s="64">
        <f t="shared" si="145"/>
        <v>229.8125</v>
      </c>
      <c r="X235" s="65">
        <f t="shared" si="146"/>
        <v>83881.5625</v>
      </c>
    </row>
    <row r="236" spans="1:24" ht="16.5" thickBot="1" x14ac:dyDescent="0.3">
      <c r="A236" s="50" t="s">
        <v>129</v>
      </c>
      <c r="B236" s="44" t="s">
        <v>285</v>
      </c>
      <c r="C236" s="4">
        <v>103.13</v>
      </c>
      <c r="D236" s="4">
        <v>103.29</v>
      </c>
      <c r="E236" s="3">
        <v>102.7</v>
      </c>
      <c r="F236" s="63">
        <f t="shared" si="147"/>
        <v>103.04</v>
      </c>
      <c r="G236" s="108">
        <f t="shared" si="138"/>
        <v>9479.68</v>
      </c>
      <c r="H236" s="3">
        <v>111</v>
      </c>
      <c r="I236" s="3">
        <v>110.5</v>
      </c>
      <c r="J236" s="3">
        <v>104.87</v>
      </c>
      <c r="K236" s="63">
        <f t="shared" si="139"/>
        <v>108.79</v>
      </c>
      <c r="L236" s="108">
        <f t="shared" si="140"/>
        <v>10008.68</v>
      </c>
      <c r="M236" s="3">
        <v>100.39</v>
      </c>
      <c r="N236" s="87">
        <v>102.61</v>
      </c>
      <c r="O236" s="87">
        <v>103.94</v>
      </c>
      <c r="P236" s="63">
        <f t="shared" si="141"/>
        <v>102.31333333333333</v>
      </c>
      <c r="Q236" s="108">
        <f t="shared" si="142"/>
        <v>9208.2000000000007</v>
      </c>
      <c r="R236" s="3">
        <v>92.83</v>
      </c>
      <c r="S236" s="87">
        <v>99.65</v>
      </c>
      <c r="T236" s="90">
        <v>97</v>
      </c>
      <c r="U236" s="63">
        <f t="shared" si="143"/>
        <v>96.493333333333339</v>
      </c>
      <c r="V236" s="111">
        <f t="shared" si="144"/>
        <v>8780.8933333333334</v>
      </c>
      <c r="W236" s="64">
        <f t="shared" si="145"/>
        <v>102.65916666666668</v>
      </c>
      <c r="X236" s="65">
        <f t="shared" si="146"/>
        <v>37470.59583333334</v>
      </c>
    </row>
    <row r="237" spans="1:24" ht="16.5" thickBot="1" x14ac:dyDescent="0.3">
      <c r="A237" s="51" t="s">
        <v>260</v>
      </c>
      <c r="B237" s="44" t="s">
        <v>292</v>
      </c>
      <c r="C237" s="4">
        <f>321.48+175.26</f>
        <v>496.74</v>
      </c>
      <c r="D237" s="4">
        <f>330.52+175.65</f>
        <v>506.16999999999996</v>
      </c>
      <c r="E237" s="3">
        <f>329.63+175.83</f>
        <v>505.46000000000004</v>
      </c>
      <c r="F237" s="63">
        <f t="shared" si="147"/>
        <v>502.78999999999996</v>
      </c>
      <c r="G237" s="108">
        <f t="shared" si="138"/>
        <v>46256.679999999993</v>
      </c>
      <c r="H237" s="3">
        <f>333.71+175.65</f>
        <v>509.36</v>
      </c>
      <c r="I237" s="3">
        <f>175.67+330.63</f>
        <v>506.29999999999995</v>
      </c>
      <c r="J237" s="3">
        <f>324.52+172.35</f>
        <v>496.87</v>
      </c>
      <c r="K237" s="63">
        <f t="shared" si="139"/>
        <v>504.17666666666668</v>
      </c>
      <c r="L237" s="108">
        <f t="shared" si="140"/>
        <v>46384.253333333334</v>
      </c>
      <c r="M237" s="3">
        <f>323.65+165</f>
        <v>488.65</v>
      </c>
      <c r="N237" s="87">
        <f>331.36+175.89</f>
        <v>507.25</v>
      </c>
      <c r="O237" s="87">
        <f>333.29+176</f>
        <v>509.29</v>
      </c>
      <c r="P237" s="63">
        <f t="shared" si="141"/>
        <v>501.73</v>
      </c>
      <c r="Q237" s="108">
        <f t="shared" si="142"/>
        <v>45155.700000000004</v>
      </c>
      <c r="R237" s="3">
        <f>326.73+175.73</f>
        <v>502.46000000000004</v>
      </c>
      <c r="S237" s="87">
        <f>327.39+175.81</f>
        <v>503.2</v>
      </c>
      <c r="T237" s="90">
        <f>326.5+175.5</f>
        <v>502</v>
      </c>
      <c r="U237" s="63">
        <f t="shared" si="143"/>
        <v>502.55333333333334</v>
      </c>
      <c r="V237" s="111">
        <f t="shared" si="144"/>
        <v>45732.353333333333</v>
      </c>
      <c r="W237" s="64">
        <f t="shared" si="145"/>
        <v>502.8125</v>
      </c>
      <c r="X237" s="65">
        <f t="shared" si="146"/>
        <v>183526.5625</v>
      </c>
    </row>
    <row r="238" spans="1:24" ht="16.5" thickBot="1" x14ac:dyDescent="0.3">
      <c r="A238" s="50" t="s">
        <v>138</v>
      </c>
      <c r="B238" s="121" t="s">
        <v>286</v>
      </c>
      <c r="C238" s="4">
        <v>120.23</v>
      </c>
      <c r="D238" s="4">
        <v>121.1</v>
      </c>
      <c r="E238" s="3">
        <v>120.8</v>
      </c>
      <c r="F238" s="63">
        <f t="shared" si="147"/>
        <v>120.71</v>
      </c>
      <c r="G238" s="108">
        <f t="shared" si="138"/>
        <v>11105.32</v>
      </c>
      <c r="H238" s="3">
        <v>120</v>
      </c>
      <c r="I238" s="3">
        <v>121.8</v>
      </c>
      <c r="J238" s="3">
        <v>118.19</v>
      </c>
      <c r="K238" s="63">
        <f t="shared" si="139"/>
        <v>119.99666666666667</v>
      </c>
      <c r="L238" s="108">
        <f t="shared" si="140"/>
        <v>11039.693333333333</v>
      </c>
      <c r="M238" s="3">
        <v>117.35</v>
      </c>
      <c r="N238" s="87">
        <v>123.29</v>
      </c>
      <c r="O238" s="87">
        <v>121.55</v>
      </c>
      <c r="P238" s="63">
        <f t="shared" si="141"/>
        <v>120.73</v>
      </c>
      <c r="Q238" s="108">
        <f t="shared" si="142"/>
        <v>10865.7</v>
      </c>
      <c r="R238" s="3">
        <v>112.27</v>
      </c>
      <c r="S238" s="87">
        <v>123.39</v>
      </c>
      <c r="T238" s="90">
        <v>118.8</v>
      </c>
      <c r="U238" s="63">
        <f t="shared" si="143"/>
        <v>118.15333333333332</v>
      </c>
      <c r="V238" s="111">
        <f t="shared" si="144"/>
        <v>10751.953333333333</v>
      </c>
      <c r="W238" s="64">
        <f t="shared" si="145"/>
        <v>119.89749999999999</v>
      </c>
      <c r="X238" s="65">
        <f t="shared" si="146"/>
        <v>43762.587499999994</v>
      </c>
    </row>
    <row r="239" spans="1:24" ht="16.5" thickBot="1" x14ac:dyDescent="0.3">
      <c r="A239" s="49" t="s">
        <v>19</v>
      </c>
      <c r="B239" s="43" t="s">
        <v>287</v>
      </c>
      <c r="C239" s="126">
        <v>545.94000000000005</v>
      </c>
      <c r="D239" s="126">
        <v>550.97</v>
      </c>
      <c r="E239" s="118">
        <v>552.73</v>
      </c>
      <c r="F239" s="63">
        <f t="shared" si="147"/>
        <v>549.88</v>
      </c>
      <c r="G239" s="108">
        <f t="shared" si="138"/>
        <v>50588.959999999999</v>
      </c>
      <c r="H239" s="118">
        <v>550.97</v>
      </c>
      <c r="I239" s="3">
        <v>535.87</v>
      </c>
      <c r="J239" s="118">
        <v>553.71</v>
      </c>
      <c r="K239" s="63">
        <f t="shared" si="139"/>
        <v>546.85</v>
      </c>
      <c r="L239" s="111">
        <f t="shared" si="140"/>
        <v>50310.200000000004</v>
      </c>
      <c r="M239" s="3">
        <v>548.1</v>
      </c>
      <c r="N239" s="86">
        <v>552.16999999999996</v>
      </c>
      <c r="O239" s="86">
        <v>549.74</v>
      </c>
      <c r="P239" s="63">
        <f t="shared" si="141"/>
        <v>550.00333333333333</v>
      </c>
      <c r="Q239" s="108">
        <f t="shared" si="142"/>
        <v>49500.3</v>
      </c>
      <c r="R239" s="3">
        <v>545.47</v>
      </c>
      <c r="S239" s="86">
        <v>554</v>
      </c>
      <c r="T239" s="89">
        <v>552.77</v>
      </c>
      <c r="U239" s="63">
        <f t="shared" si="143"/>
        <v>550.74666666666667</v>
      </c>
      <c r="V239" s="111">
        <f t="shared" si="144"/>
        <v>50117.94666666667</v>
      </c>
      <c r="W239" s="64">
        <f t="shared" si="145"/>
        <v>549.37</v>
      </c>
      <c r="X239" s="65">
        <f t="shared" si="146"/>
        <v>200520.05</v>
      </c>
    </row>
    <row r="240" spans="1:24" ht="16.5" thickBot="1" x14ac:dyDescent="0.3">
      <c r="A240" s="51" t="s">
        <v>261</v>
      </c>
      <c r="B240" s="44" t="s">
        <v>288</v>
      </c>
      <c r="C240" s="4">
        <f>273.23+118.23</f>
        <v>391.46000000000004</v>
      </c>
      <c r="D240" s="4">
        <f>294.13+120.81</f>
        <v>414.94</v>
      </c>
      <c r="E240" s="3">
        <f>294.83+109.6</f>
        <v>404.42999999999995</v>
      </c>
      <c r="F240" s="63">
        <f t="shared" si="147"/>
        <v>403.60999999999996</v>
      </c>
      <c r="G240" s="108">
        <f t="shared" si="138"/>
        <v>37132.119999999995</v>
      </c>
      <c r="H240" s="3">
        <f>298.94+133.06</f>
        <v>432</v>
      </c>
      <c r="I240" s="3">
        <f>274.87+126.83</f>
        <v>401.7</v>
      </c>
      <c r="J240" s="3">
        <f>289.19+110.58</f>
        <v>399.77</v>
      </c>
      <c r="K240" s="63">
        <f t="shared" si="139"/>
        <v>411.15666666666669</v>
      </c>
      <c r="L240" s="108">
        <f t="shared" si="140"/>
        <v>37826.413333333338</v>
      </c>
      <c r="M240" s="3">
        <f>301.97+98.97</f>
        <v>400.94000000000005</v>
      </c>
      <c r="N240" s="87">
        <f>293.43+102.14</f>
        <v>395.57</v>
      </c>
      <c r="O240" s="87">
        <f>283.45+99.61</f>
        <v>383.06</v>
      </c>
      <c r="P240" s="63">
        <f t="shared" si="141"/>
        <v>393.19</v>
      </c>
      <c r="Q240" s="108">
        <f t="shared" si="142"/>
        <v>35387.1</v>
      </c>
      <c r="R240" s="3">
        <f>295.33+104.7</f>
        <v>400.03</v>
      </c>
      <c r="S240" s="87">
        <f>300.23+102.35</f>
        <v>402.58000000000004</v>
      </c>
      <c r="T240" s="90">
        <f>285.8+107.77</f>
        <v>393.57</v>
      </c>
      <c r="U240" s="63">
        <f t="shared" si="143"/>
        <v>398.72666666666669</v>
      </c>
      <c r="V240" s="111">
        <f t="shared" si="144"/>
        <v>36284.126666666671</v>
      </c>
      <c r="W240" s="64">
        <f t="shared" si="145"/>
        <v>401.67083333333335</v>
      </c>
      <c r="X240" s="65">
        <f t="shared" si="146"/>
        <v>146609.85416666669</v>
      </c>
    </row>
    <row r="241" spans="1:24" ht="16.5" thickBot="1" x14ac:dyDescent="0.3">
      <c r="A241" s="50" t="s">
        <v>130</v>
      </c>
      <c r="B241" s="44" t="s">
        <v>289</v>
      </c>
      <c r="C241" s="4">
        <v>145.32</v>
      </c>
      <c r="D241" s="4">
        <v>146.32</v>
      </c>
      <c r="E241" s="3">
        <v>160.47</v>
      </c>
      <c r="F241" s="63">
        <f t="shared" si="147"/>
        <v>150.70333333333335</v>
      </c>
      <c r="G241" s="108">
        <f t="shared" si="138"/>
        <v>13864.706666666669</v>
      </c>
      <c r="H241" s="3">
        <v>166.55</v>
      </c>
      <c r="I241" s="3">
        <v>162.93</v>
      </c>
      <c r="J241" s="3">
        <v>151.03</v>
      </c>
      <c r="K241" s="63">
        <f t="shared" si="139"/>
        <v>160.16999999999999</v>
      </c>
      <c r="L241" s="108">
        <f t="shared" si="140"/>
        <v>14735.64</v>
      </c>
      <c r="M241" s="3">
        <v>153.13</v>
      </c>
      <c r="N241" s="87">
        <v>150.71</v>
      </c>
      <c r="O241" s="87">
        <v>160</v>
      </c>
      <c r="P241" s="63">
        <f t="shared" si="141"/>
        <v>154.61333333333334</v>
      </c>
      <c r="Q241" s="108">
        <f t="shared" si="142"/>
        <v>13915.2</v>
      </c>
      <c r="R241" s="3">
        <v>164.5</v>
      </c>
      <c r="S241" s="87">
        <v>160.94</v>
      </c>
      <c r="T241" s="90">
        <v>165.27</v>
      </c>
      <c r="U241" s="63">
        <f t="shared" si="143"/>
        <v>163.57000000000002</v>
      </c>
      <c r="V241" s="111">
        <f t="shared" si="144"/>
        <v>14884.870000000003</v>
      </c>
      <c r="W241" s="64">
        <f t="shared" si="145"/>
        <v>157.26416666666668</v>
      </c>
      <c r="X241" s="65">
        <f t="shared" si="146"/>
        <v>57401.420833333337</v>
      </c>
    </row>
    <row r="242" spans="1:24" ht="16.5" thickBot="1" x14ac:dyDescent="0.3">
      <c r="A242" s="50" t="s">
        <v>131</v>
      </c>
      <c r="B242" s="34"/>
      <c r="C242" s="4">
        <v>0</v>
      </c>
      <c r="D242" s="4">
        <v>0</v>
      </c>
      <c r="E242" s="18"/>
      <c r="F242" s="67">
        <f t="shared" si="147"/>
        <v>0</v>
      </c>
      <c r="G242" s="108">
        <f t="shared" si="138"/>
        <v>0</v>
      </c>
      <c r="H242" s="18"/>
      <c r="I242" s="18"/>
      <c r="J242" s="18"/>
      <c r="K242" s="67">
        <f t="shared" si="139"/>
        <v>0</v>
      </c>
      <c r="L242" s="108">
        <f t="shared" si="140"/>
        <v>0</v>
      </c>
      <c r="M242" s="18"/>
      <c r="N242" s="4"/>
      <c r="O242" s="87"/>
      <c r="P242" s="67">
        <f t="shared" si="141"/>
        <v>0</v>
      </c>
      <c r="Q242" s="108">
        <f t="shared" si="142"/>
        <v>0</v>
      </c>
      <c r="R242" s="3"/>
      <c r="S242" s="3"/>
      <c r="T242" s="4"/>
      <c r="U242" s="67">
        <f t="shared" si="143"/>
        <v>0</v>
      </c>
      <c r="V242" s="112">
        <f t="shared" si="144"/>
        <v>0</v>
      </c>
      <c r="W242" s="137">
        <f t="shared" si="145"/>
        <v>0</v>
      </c>
      <c r="X242" s="65">
        <f t="shared" si="146"/>
        <v>0</v>
      </c>
    </row>
    <row r="243" spans="1:24" ht="16.5" thickBot="1" x14ac:dyDescent="0.3">
      <c r="A243" s="46" t="s">
        <v>139</v>
      </c>
      <c r="B243" s="35"/>
      <c r="C243" s="80">
        <f>SUM(C229:C242)</f>
        <v>3739.7400000000002</v>
      </c>
      <c r="D243" s="80">
        <f>SUM(D229:D242)</f>
        <v>3844.1800000000003</v>
      </c>
      <c r="E243" s="80">
        <f>SUM(E229:E242)</f>
        <v>3890.0299999999997</v>
      </c>
      <c r="F243" s="68">
        <f>SUM(C243:E243)/3</f>
        <v>3824.65</v>
      </c>
      <c r="G243" s="108">
        <f>F243*92</f>
        <v>351867.8</v>
      </c>
      <c r="H243" s="94">
        <f>SUM(H229:H242)</f>
        <v>3935.6800000000003</v>
      </c>
      <c r="I243" s="80">
        <f>SUM(I229:I242)</f>
        <v>3822.23</v>
      </c>
      <c r="J243" s="80">
        <f>SUM(J229:J242)</f>
        <v>3724.6600000000003</v>
      </c>
      <c r="K243" s="68">
        <f t="shared" si="139"/>
        <v>3827.5233333333331</v>
      </c>
      <c r="L243" s="119">
        <f t="shared" si="140"/>
        <v>352132.14666666667</v>
      </c>
      <c r="M243" s="9">
        <f>SUM(M229:M242)</f>
        <v>3775.6200000000003</v>
      </c>
      <c r="N243" s="80">
        <f>SUM(N229:N242)</f>
        <v>3813.7400000000002</v>
      </c>
      <c r="O243" s="80">
        <f>SUM(O229:O242)</f>
        <v>3809.7099999999996</v>
      </c>
      <c r="P243" s="68">
        <f t="shared" si="141"/>
        <v>3799.69</v>
      </c>
      <c r="Q243" s="119">
        <f t="shared" si="142"/>
        <v>341972.1</v>
      </c>
      <c r="R243" s="94">
        <f>SUM(R229:R242)</f>
        <v>3834.21</v>
      </c>
      <c r="S243" s="80">
        <f>SUM(S229:S242)</f>
        <v>3921.7299999999996</v>
      </c>
      <c r="T243" s="81">
        <f>SUM(T229:T242)</f>
        <v>3903.23</v>
      </c>
      <c r="U243" s="68">
        <f t="shared" si="143"/>
        <v>3886.39</v>
      </c>
      <c r="V243" s="120">
        <f t="shared" si="144"/>
        <v>353661.49</v>
      </c>
      <c r="W243" s="138">
        <f t="shared" si="145"/>
        <v>3834.5633333333335</v>
      </c>
      <c r="X243" s="69">
        <f>SUM(X229:X242)</f>
        <v>1399615.6166666667</v>
      </c>
    </row>
    <row r="244" spans="1:24" ht="16.5" thickBot="1" x14ac:dyDescent="0.3">
      <c r="A244" s="46" t="s">
        <v>140</v>
      </c>
      <c r="B244" s="35"/>
      <c r="C244" s="70"/>
      <c r="D244" s="70"/>
      <c r="E244" s="71"/>
      <c r="F244" s="98"/>
      <c r="G244" s="98"/>
      <c r="H244" s="72"/>
      <c r="I244" s="70" t="s">
        <v>236</v>
      </c>
      <c r="J244" s="71"/>
      <c r="K244" s="97"/>
      <c r="L244" s="97"/>
      <c r="M244" s="72"/>
      <c r="N244" s="70"/>
      <c r="O244" s="71"/>
      <c r="P244" s="97"/>
      <c r="Q244" s="97"/>
      <c r="R244" s="72"/>
      <c r="S244" s="70"/>
      <c r="T244" s="71"/>
      <c r="U244" s="71"/>
      <c r="V244" s="70"/>
      <c r="W244" s="96"/>
      <c r="X244" s="69" t="s">
        <v>0</v>
      </c>
    </row>
    <row r="245" spans="1:24" ht="16.5" customHeight="1" thickBot="1" x14ac:dyDescent="0.3">
      <c r="A245" s="163" t="s">
        <v>132</v>
      </c>
      <c r="B245" s="164"/>
      <c r="C245" s="165">
        <v>734.97</v>
      </c>
      <c r="D245" s="165">
        <v>733.74</v>
      </c>
      <c r="E245" s="165">
        <v>732.27</v>
      </c>
      <c r="F245" s="166">
        <f t="shared" ref="F245:F251" si="148">SUM(C245:E245)/3</f>
        <v>733.66</v>
      </c>
      <c r="G245" s="167">
        <f t="shared" ref="G245:G251" si="149">F245*92</f>
        <v>67496.72</v>
      </c>
      <c r="H245" s="165">
        <v>737.87</v>
      </c>
      <c r="I245" s="165">
        <v>714</v>
      </c>
      <c r="J245" s="165">
        <v>713.77</v>
      </c>
      <c r="K245" s="166">
        <f t="shared" ref="K245:K252" si="150">SUM(H245:J245)/3</f>
        <v>721.88</v>
      </c>
      <c r="L245" s="167">
        <f t="shared" ref="L245:L251" si="151">K245*92</f>
        <v>66412.960000000006</v>
      </c>
      <c r="M245" s="165">
        <v>723.81</v>
      </c>
      <c r="N245" s="168">
        <v>730.89</v>
      </c>
      <c r="O245" s="168">
        <v>737.55</v>
      </c>
      <c r="P245" s="166">
        <f t="shared" ref="P245:P252" si="152">SUM(M245:O245)/3</f>
        <v>730.75</v>
      </c>
      <c r="Q245" s="167">
        <f t="shared" ref="Q245:Q251" si="153">P245*90</f>
        <v>65767.5</v>
      </c>
      <c r="R245" s="165">
        <v>751</v>
      </c>
      <c r="S245" s="168">
        <v>719.4</v>
      </c>
      <c r="T245" s="169">
        <v>754</v>
      </c>
      <c r="U245" s="166">
        <f t="shared" ref="U245:U252" si="154">SUM(R245:T245)/3</f>
        <v>741.4666666666667</v>
      </c>
      <c r="V245" s="170">
        <f t="shared" ref="V245:V251" si="155">U245*91</f>
        <v>67473.466666666674</v>
      </c>
      <c r="W245" s="171">
        <f t="shared" ref="W245:W250" si="156">SUM(C245+D245+E245+H245+I245+J245+M245+N245+O245+R245+S245+T245)/12</f>
        <v>731.93916666666667</v>
      </c>
      <c r="X245" s="172">
        <f t="shared" ref="X245:X250" si="157">W245*365</f>
        <v>267157.79583333334</v>
      </c>
    </row>
    <row r="246" spans="1:24" ht="16.5" thickBot="1" x14ac:dyDescent="0.3">
      <c r="A246" s="50" t="s">
        <v>133</v>
      </c>
      <c r="B246" s="34"/>
      <c r="C246" s="5">
        <v>10.71</v>
      </c>
      <c r="D246" s="5">
        <v>9.8699999999999992</v>
      </c>
      <c r="E246" s="5">
        <v>9.1</v>
      </c>
      <c r="F246" s="63">
        <f t="shared" si="148"/>
        <v>9.8933333333333326</v>
      </c>
      <c r="G246" s="108">
        <f t="shared" si="149"/>
        <v>910.18666666666661</v>
      </c>
      <c r="H246" s="5">
        <v>13.35</v>
      </c>
      <c r="I246" s="5">
        <v>11.73</v>
      </c>
      <c r="J246" s="5">
        <v>10.94</v>
      </c>
      <c r="K246" s="63">
        <f t="shared" si="150"/>
        <v>12.006666666666666</v>
      </c>
      <c r="L246" s="108">
        <f t="shared" si="151"/>
        <v>1104.6133333333332</v>
      </c>
      <c r="M246" s="5">
        <v>10.52</v>
      </c>
      <c r="N246" s="75">
        <v>9.18</v>
      </c>
      <c r="O246" s="75">
        <v>11.23</v>
      </c>
      <c r="P246" s="63">
        <f t="shared" si="152"/>
        <v>10.31</v>
      </c>
      <c r="Q246" s="108">
        <f t="shared" si="153"/>
        <v>927.90000000000009</v>
      </c>
      <c r="R246" s="5">
        <v>12</v>
      </c>
      <c r="S246" s="75">
        <v>12</v>
      </c>
      <c r="T246" s="76">
        <v>5</v>
      </c>
      <c r="U246" s="63">
        <f t="shared" si="154"/>
        <v>9.6666666666666661</v>
      </c>
      <c r="V246" s="111">
        <f t="shared" si="155"/>
        <v>879.66666666666663</v>
      </c>
      <c r="W246" s="64">
        <f t="shared" si="156"/>
        <v>10.469166666666668</v>
      </c>
      <c r="X246" s="66">
        <f t="shared" si="157"/>
        <v>3821.2458333333338</v>
      </c>
    </row>
    <row r="247" spans="1:24" ht="16.5" thickBot="1" x14ac:dyDescent="0.3">
      <c r="A247" s="50" t="s">
        <v>135</v>
      </c>
      <c r="B247" s="34"/>
      <c r="C247" s="5">
        <v>30</v>
      </c>
      <c r="D247" s="5">
        <v>29</v>
      </c>
      <c r="E247" s="5">
        <v>30</v>
      </c>
      <c r="F247" s="63">
        <f t="shared" si="148"/>
        <v>29.666666666666668</v>
      </c>
      <c r="G247" s="108">
        <f t="shared" si="149"/>
        <v>2729.3333333333335</v>
      </c>
      <c r="H247" s="5">
        <v>33</v>
      </c>
      <c r="I247" s="5">
        <v>35</v>
      </c>
      <c r="J247" s="5">
        <v>34</v>
      </c>
      <c r="K247" s="63">
        <f t="shared" si="150"/>
        <v>34</v>
      </c>
      <c r="L247" s="108">
        <f t="shared" si="151"/>
        <v>3128</v>
      </c>
      <c r="M247" s="5">
        <v>29</v>
      </c>
      <c r="N247" s="75">
        <v>26</v>
      </c>
      <c r="O247" s="75">
        <v>22</v>
      </c>
      <c r="P247" s="63">
        <f t="shared" si="152"/>
        <v>25.666666666666668</v>
      </c>
      <c r="Q247" s="108">
        <f t="shared" si="153"/>
        <v>2310</v>
      </c>
      <c r="R247" s="5">
        <v>20</v>
      </c>
      <c r="S247" s="75">
        <v>21</v>
      </c>
      <c r="T247" s="76">
        <v>20</v>
      </c>
      <c r="U247" s="63">
        <f t="shared" si="154"/>
        <v>20.333333333333332</v>
      </c>
      <c r="V247" s="111">
        <f t="shared" si="155"/>
        <v>1850.3333333333333</v>
      </c>
      <c r="W247" s="64">
        <f t="shared" si="156"/>
        <v>27.416666666666668</v>
      </c>
      <c r="X247" s="65">
        <f t="shared" si="157"/>
        <v>10007.083333333334</v>
      </c>
    </row>
    <row r="248" spans="1:24" ht="16.5" thickBot="1" x14ac:dyDescent="0.3">
      <c r="A248" s="50" t="s">
        <v>134</v>
      </c>
      <c r="B248" s="34"/>
      <c r="C248" s="5">
        <v>266</v>
      </c>
      <c r="D248" s="5">
        <v>271</v>
      </c>
      <c r="E248" s="5">
        <v>270</v>
      </c>
      <c r="F248" s="63">
        <f t="shared" si="148"/>
        <v>269</v>
      </c>
      <c r="G248" s="108">
        <f t="shared" si="149"/>
        <v>24748</v>
      </c>
      <c r="H248" s="5">
        <v>282</v>
      </c>
      <c r="I248" s="5">
        <v>295</v>
      </c>
      <c r="J248" s="5">
        <v>282</v>
      </c>
      <c r="K248" s="63">
        <f t="shared" si="150"/>
        <v>286.33333333333331</v>
      </c>
      <c r="L248" s="108">
        <f t="shared" si="151"/>
        <v>26342.666666666664</v>
      </c>
      <c r="M248" s="5">
        <v>287</v>
      </c>
      <c r="N248" s="75">
        <v>298</v>
      </c>
      <c r="O248" s="75">
        <v>293</v>
      </c>
      <c r="P248" s="63">
        <f t="shared" si="152"/>
        <v>292.66666666666669</v>
      </c>
      <c r="Q248" s="108">
        <f t="shared" si="153"/>
        <v>26340</v>
      </c>
      <c r="R248" s="5">
        <v>297</v>
      </c>
      <c r="S248" s="75">
        <v>301</v>
      </c>
      <c r="T248" s="76">
        <v>297</v>
      </c>
      <c r="U248" s="63">
        <f t="shared" si="154"/>
        <v>298.33333333333331</v>
      </c>
      <c r="V248" s="111">
        <f t="shared" si="155"/>
        <v>27148.333333333332</v>
      </c>
      <c r="W248" s="64">
        <f t="shared" si="156"/>
        <v>286.58333333333331</v>
      </c>
      <c r="X248" s="66">
        <f t="shared" si="157"/>
        <v>104602.91666666666</v>
      </c>
    </row>
    <row r="249" spans="1:24" ht="16.5" thickBot="1" x14ac:dyDescent="0.3">
      <c r="A249" s="50" t="s">
        <v>339</v>
      </c>
      <c r="B249" s="34"/>
      <c r="C249" s="5">
        <v>899</v>
      </c>
      <c r="D249" s="5">
        <v>897</v>
      </c>
      <c r="E249" s="5">
        <v>896</v>
      </c>
      <c r="F249" s="63">
        <f t="shared" si="148"/>
        <v>897.33333333333337</v>
      </c>
      <c r="G249" s="108">
        <f t="shared" si="149"/>
        <v>82554.666666666672</v>
      </c>
      <c r="H249" s="5">
        <v>892</v>
      </c>
      <c r="I249" s="5">
        <v>967</v>
      </c>
      <c r="J249" s="5">
        <v>977</v>
      </c>
      <c r="K249" s="63">
        <f t="shared" si="150"/>
        <v>945.33333333333337</v>
      </c>
      <c r="L249" s="108">
        <f t="shared" si="151"/>
        <v>86970.666666666672</v>
      </c>
      <c r="M249" s="5">
        <v>976</v>
      </c>
      <c r="N249" s="75">
        <v>993</v>
      </c>
      <c r="O249" s="75">
        <v>990</v>
      </c>
      <c r="P249" s="63">
        <f t="shared" si="152"/>
        <v>986.33333333333337</v>
      </c>
      <c r="Q249" s="108">
        <f t="shared" si="153"/>
        <v>88770</v>
      </c>
      <c r="R249" s="5">
        <v>993</v>
      </c>
      <c r="S249" s="75">
        <v>998</v>
      </c>
      <c r="T249" s="76">
        <v>994</v>
      </c>
      <c r="U249" s="63">
        <f t="shared" si="154"/>
        <v>995</v>
      </c>
      <c r="V249" s="111">
        <f t="shared" si="155"/>
        <v>90545</v>
      </c>
      <c r="W249" s="64">
        <f t="shared" si="156"/>
        <v>956</v>
      </c>
      <c r="X249" s="65">
        <f t="shared" si="157"/>
        <v>348940</v>
      </c>
    </row>
    <row r="250" spans="1:24" ht="16.5" thickBot="1" x14ac:dyDescent="0.3">
      <c r="A250" s="50" t="s">
        <v>137</v>
      </c>
      <c r="B250" s="34"/>
      <c r="C250" s="5">
        <v>19</v>
      </c>
      <c r="D250" s="5">
        <v>19</v>
      </c>
      <c r="E250" s="5">
        <v>19</v>
      </c>
      <c r="F250" s="63">
        <f t="shared" si="148"/>
        <v>19</v>
      </c>
      <c r="G250" s="108">
        <f t="shared" si="149"/>
        <v>1748</v>
      </c>
      <c r="H250" s="5">
        <v>18</v>
      </c>
      <c r="I250" s="5">
        <v>18</v>
      </c>
      <c r="J250" s="5">
        <v>18</v>
      </c>
      <c r="K250" s="63">
        <f t="shared" si="150"/>
        <v>18</v>
      </c>
      <c r="L250" s="108">
        <f t="shared" si="151"/>
        <v>1656</v>
      </c>
      <c r="M250" s="5">
        <v>18</v>
      </c>
      <c r="N250" s="75">
        <v>17</v>
      </c>
      <c r="O250" s="75">
        <v>16</v>
      </c>
      <c r="P250" s="63">
        <f t="shared" si="152"/>
        <v>17</v>
      </c>
      <c r="Q250" s="108">
        <f t="shared" si="153"/>
        <v>1530</v>
      </c>
      <c r="R250" s="5">
        <v>16</v>
      </c>
      <c r="S250" s="75">
        <v>16</v>
      </c>
      <c r="T250" s="76">
        <v>16</v>
      </c>
      <c r="U250" s="63">
        <f t="shared" si="154"/>
        <v>16</v>
      </c>
      <c r="V250" s="112">
        <f t="shared" si="155"/>
        <v>1456</v>
      </c>
      <c r="W250" s="64">
        <f t="shared" si="156"/>
        <v>17.5</v>
      </c>
      <c r="X250" s="66">
        <f t="shared" si="157"/>
        <v>6387.5</v>
      </c>
    </row>
    <row r="251" spans="1:24" ht="16.5" thickBot="1" x14ac:dyDescent="0.3">
      <c r="A251" s="53" t="s">
        <v>141</v>
      </c>
      <c r="B251" s="37"/>
      <c r="C251" s="80">
        <f>SUM(C245:C250)</f>
        <v>1959.68</v>
      </c>
      <c r="D251" s="80">
        <f>SUM(D245:D250)</f>
        <v>1959.6100000000001</v>
      </c>
      <c r="E251" s="80">
        <f>SUM(E245:E250)</f>
        <v>1956.37</v>
      </c>
      <c r="F251" s="68">
        <f t="shared" si="148"/>
        <v>1958.5533333333333</v>
      </c>
      <c r="G251" s="108">
        <f t="shared" si="149"/>
        <v>180186.90666666668</v>
      </c>
      <c r="H251" s="94">
        <f>SUM(H245:H250)</f>
        <v>1976.22</v>
      </c>
      <c r="I251" s="80">
        <f>SUM(I245:I250)</f>
        <v>2040.73</v>
      </c>
      <c r="J251" s="80">
        <f>SUM(J245:J250)</f>
        <v>2035.71</v>
      </c>
      <c r="K251" s="68">
        <f t="shared" si="150"/>
        <v>2017.5533333333333</v>
      </c>
      <c r="L251" s="119">
        <f t="shared" si="151"/>
        <v>185614.90666666668</v>
      </c>
      <c r="M251" s="94">
        <f>SUM(M245:M250)</f>
        <v>2044.33</v>
      </c>
      <c r="N251" s="80">
        <f>SUM(N245:N250)</f>
        <v>2074.0699999999997</v>
      </c>
      <c r="O251" s="80">
        <f>SUM(O245:O250)</f>
        <v>2069.7799999999997</v>
      </c>
      <c r="P251" s="68">
        <f t="shared" si="152"/>
        <v>2062.7266666666665</v>
      </c>
      <c r="Q251" s="108">
        <f t="shared" si="153"/>
        <v>185645.4</v>
      </c>
      <c r="R251" s="94">
        <f>SUM(R245:R250)</f>
        <v>2089</v>
      </c>
      <c r="S251" s="80">
        <f>SUM(S245:S250)</f>
        <v>2067.4</v>
      </c>
      <c r="T251" s="81">
        <f>SUM(T245:T250)</f>
        <v>2086</v>
      </c>
      <c r="U251" s="68">
        <f t="shared" si="154"/>
        <v>2080.7999999999997</v>
      </c>
      <c r="V251" s="120">
        <f t="shared" si="155"/>
        <v>189352.8</v>
      </c>
      <c r="W251" s="69">
        <f>SUM(W245:W250)</f>
        <v>2029.9083333333333</v>
      </c>
      <c r="X251" s="69">
        <f>SUM(X245:X250)</f>
        <v>740916.54166666663</v>
      </c>
    </row>
    <row r="252" spans="1:24" ht="16.5" thickBot="1" x14ac:dyDescent="0.3">
      <c r="A252" s="54" t="s">
        <v>145</v>
      </c>
      <c r="B252" s="38"/>
      <c r="C252" s="80">
        <f>C243+C251</f>
        <v>5699.42</v>
      </c>
      <c r="D252" s="80">
        <f>D243+D251</f>
        <v>5803.7900000000009</v>
      </c>
      <c r="E252" s="80">
        <f>E243+E251</f>
        <v>5846.4</v>
      </c>
      <c r="F252" s="80">
        <f>F243+F251</f>
        <v>5783.2033333333329</v>
      </c>
      <c r="G252" s="68">
        <f>SUM(G243+G251)</f>
        <v>532054.70666666667</v>
      </c>
      <c r="H252" s="80">
        <f>H243+H251</f>
        <v>5911.9000000000005</v>
      </c>
      <c r="I252" s="80">
        <f>I243+I251</f>
        <v>5862.96</v>
      </c>
      <c r="J252" s="80">
        <f>J243+J251</f>
        <v>5760.3700000000008</v>
      </c>
      <c r="K252" s="120">
        <f t="shared" si="150"/>
        <v>5845.0766666666677</v>
      </c>
      <c r="L252" s="68">
        <f>SUM(L243+L251)</f>
        <v>537747.05333333334</v>
      </c>
      <c r="M252" s="94">
        <f>M243+M251</f>
        <v>5819.9500000000007</v>
      </c>
      <c r="N252" s="80">
        <f>N243+N251</f>
        <v>5887.8099999999995</v>
      </c>
      <c r="O252" s="80">
        <f>O243+O251</f>
        <v>5879.49</v>
      </c>
      <c r="P252" s="99">
        <f t="shared" si="152"/>
        <v>5862.416666666667</v>
      </c>
      <c r="Q252" s="68">
        <f>SUM(Q243+Q251)</f>
        <v>527617.5</v>
      </c>
      <c r="R252" s="94">
        <f>R243+R251</f>
        <v>5923.21</v>
      </c>
      <c r="S252" s="80">
        <f>S243+S251</f>
        <v>5989.1299999999992</v>
      </c>
      <c r="T252" s="81">
        <f>T243+T251</f>
        <v>5989.23</v>
      </c>
      <c r="U252" s="99">
        <f t="shared" si="154"/>
        <v>5967.19</v>
      </c>
      <c r="V252" s="68">
        <f>SUM(V243+V251)</f>
        <v>543014.29</v>
      </c>
      <c r="W252" s="80">
        <f>W243+W251</f>
        <v>5864.4716666666664</v>
      </c>
      <c r="X252" s="82">
        <f>X243+X251</f>
        <v>2140532.1583333332</v>
      </c>
    </row>
    <row r="253" spans="1:24" ht="15.75" x14ac:dyDescent="0.25">
      <c r="A253" s="114"/>
      <c r="B253" s="19"/>
      <c r="C253" s="115"/>
      <c r="D253" s="115"/>
      <c r="E253" s="115"/>
      <c r="F253" s="115"/>
      <c r="G253" s="113"/>
      <c r="H253" s="115"/>
      <c r="I253" s="115"/>
      <c r="J253" s="115"/>
      <c r="K253" s="139"/>
      <c r="L253" s="113"/>
      <c r="M253" s="115"/>
      <c r="N253" s="115"/>
      <c r="O253" s="115"/>
      <c r="P253" s="93"/>
      <c r="Q253" s="113"/>
      <c r="R253" s="115"/>
      <c r="S253" s="115"/>
      <c r="T253" s="115"/>
      <c r="U253" s="93"/>
      <c r="V253" s="113"/>
      <c r="W253" s="115"/>
      <c r="X253" s="115"/>
    </row>
    <row r="255" spans="1:24" ht="16.5" thickBot="1" x14ac:dyDescent="0.25">
      <c r="A255" s="45" t="s">
        <v>144</v>
      </c>
      <c r="B255" s="10"/>
      <c r="C255" s="13"/>
      <c r="D255" s="13"/>
      <c r="E255" s="13"/>
      <c r="F255" s="13"/>
      <c r="G255" s="13"/>
      <c r="H255" s="13"/>
      <c r="I255" s="13"/>
      <c r="J255" s="13"/>
      <c r="K255" s="13"/>
      <c r="L255" s="13"/>
      <c r="M255" s="13"/>
      <c r="N255" s="13"/>
      <c r="O255" s="13"/>
      <c r="P255" s="13"/>
      <c r="Q255" s="13"/>
      <c r="R255" s="13"/>
      <c r="S255" s="13"/>
      <c r="T255" s="13"/>
      <c r="U255" s="13"/>
      <c r="V255" s="13"/>
      <c r="W255" s="13"/>
      <c r="X255" s="13"/>
    </row>
    <row r="256" spans="1:24" ht="16.5" thickBot="1" x14ac:dyDescent="0.3">
      <c r="A256" s="154" t="s">
        <v>317</v>
      </c>
      <c r="B256" s="1055" t="s">
        <v>142</v>
      </c>
      <c r="C256" s="1056"/>
      <c r="D256" s="1056"/>
      <c r="E256" s="1056"/>
      <c r="F256" s="1056"/>
      <c r="G256" s="1056"/>
      <c r="H256" s="1056"/>
      <c r="I256" s="1056"/>
      <c r="J256" s="1056"/>
      <c r="K256" s="1056"/>
      <c r="L256" s="1056"/>
      <c r="M256" s="1056"/>
      <c r="N256" s="1056"/>
      <c r="O256" s="1056"/>
      <c r="P256" s="1056"/>
      <c r="Q256" s="1056"/>
      <c r="R256" s="1056"/>
      <c r="S256" s="1056"/>
      <c r="T256" s="1056"/>
      <c r="U256" s="39"/>
      <c r="V256" s="39"/>
      <c r="W256" s="92"/>
      <c r="X256" s="13"/>
    </row>
    <row r="257" spans="1:24" ht="15.75" x14ac:dyDescent="0.25">
      <c r="A257" s="11"/>
      <c r="B257" s="40" t="s">
        <v>245</v>
      </c>
      <c r="C257" s="57"/>
      <c r="D257" s="58"/>
      <c r="E257" s="58"/>
      <c r="F257" s="1047" t="s">
        <v>242</v>
      </c>
      <c r="G257" s="1039" t="s">
        <v>262</v>
      </c>
      <c r="H257" s="58"/>
      <c r="I257" s="58"/>
      <c r="J257" s="58"/>
      <c r="K257" s="1047" t="s">
        <v>242</v>
      </c>
      <c r="L257" s="1039" t="s">
        <v>262</v>
      </c>
      <c r="M257" s="58"/>
      <c r="N257" s="58"/>
      <c r="O257" s="58"/>
      <c r="P257" s="1047" t="s">
        <v>242</v>
      </c>
      <c r="Q257" s="1039" t="s">
        <v>262</v>
      </c>
      <c r="R257" s="58"/>
      <c r="S257" s="58"/>
      <c r="T257" s="59"/>
      <c r="U257" s="1047" t="s">
        <v>242</v>
      </c>
      <c r="V257" s="1039" t="s">
        <v>262</v>
      </c>
      <c r="W257" s="1041" t="s">
        <v>143</v>
      </c>
      <c r="X257" s="1043" t="s">
        <v>144</v>
      </c>
    </row>
    <row r="258" spans="1:24" ht="24" customHeight="1" thickBot="1" x14ac:dyDescent="0.3">
      <c r="A258" s="47" t="s">
        <v>55</v>
      </c>
      <c r="B258" s="41" t="s">
        <v>246</v>
      </c>
      <c r="C258" s="60">
        <v>40003</v>
      </c>
      <c r="D258" s="61">
        <v>40034</v>
      </c>
      <c r="E258" s="61">
        <v>40065</v>
      </c>
      <c r="F258" s="1048"/>
      <c r="G258" s="1040"/>
      <c r="H258" s="61">
        <v>40460</v>
      </c>
      <c r="I258" s="61">
        <v>40126</v>
      </c>
      <c r="J258" s="61">
        <v>40156</v>
      </c>
      <c r="K258" s="1048"/>
      <c r="L258" s="1040"/>
      <c r="M258" s="61">
        <v>40179</v>
      </c>
      <c r="N258" s="61">
        <v>40210</v>
      </c>
      <c r="O258" s="61">
        <v>40238</v>
      </c>
      <c r="P258" s="1048"/>
      <c r="Q258" s="1040"/>
      <c r="R258" s="61">
        <v>40269</v>
      </c>
      <c r="S258" s="61">
        <v>40299</v>
      </c>
      <c r="T258" s="62">
        <v>40330</v>
      </c>
      <c r="U258" s="1048"/>
      <c r="V258" s="1040"/>
      <c r="W258" s="1042"/>
      <c r="X258" s="1044"/>
    </row>
    <row r="259" spans="1:24" ht="20.25" customHeight="1" thickBot="1" x14ac:dyDescent="0.3">
      <c r="A259" s="48" t="s">
        <v>275</v>
      </c>
      <c r="B259" s="42" t="s">
        <v>280</v>
      </c>
      <c r="C259" s="125">
        <v>458.48</v>
      </c>
      <c r="D259" s="125">
        <v>447</v>
      </c>
      <c r="E259" s="117">
        <v>468</v>
      </c>
      <c r="F259" s="63">
        <f t="shared" ref="F259:F273" si="158">SUM(C259:E259)/3</f>
        <v>457.82666666666665</v>
      </c>
      <c r="G259" s="108">
        <f t="shared" ref="G259:G273" si="159">F259*92</f>
        <v>42120.05333333333</v>
      </c>
      <c r="H259" s="117">
        <v>486.45</v>
      </c>
      <c r="I259" s="117">
        <v>485.67</v>
      </c>
      <c r="J259" s="117">
        <v>465.39</v>
      </c>
      <c r="K259" s="63">
        <f t="shared" ref="K259:K273" si="160">SUM(H259:J259)/3</f>
        <v>479.17</v>
      </c>
      <c r="L259" s="108">
        <f t="shared" ref="L259:L273" si="161">K259*92</f>
        <v>44083.64</v>
      </c>
      <c r="M259" s="117">
        <v>450.42</v>
      </c>
      <c r="N259" s="85">
        <v>463.89</v>
      </c>
      <c r="O259" s="85">
        <v>460.45</v>
      </c>
      <c r="P259" s="63">
        <f t="shared" ref="P259:P273" si="162">SUM(M259:O259)/3</f>
        <v>458.25333333333333</v>
      </c>
      <c r="Q259" s="108">
        <f t="shared" ref="Q259:Q273" si="163">P259*90</f>
        <v>41242.800000000003</v>
      </c>
      <c r="R259" s="117">
        <v>432.03</v>
      </c>
      <c r="S259" s="85">
        <v>429.83</v>
      </c>
      <c r="T259" s="135">
        <v>422.4</v>
      </c>
      <c r="U259" s="63">
        <f t="shared" ref="U259:U273" si="164">SUM(R259:T259)/3</f>
        <v>428.08666666666659</v>
      </c>
      <c r="V259" s="111">
        <f t="shared" ref="V259:V273" si="165">U259*91</f>
        <v>38955.886666666658</v>
      </c>
      <c r="W259" s="64">
        <f t="shared" ref="W259:W273" si="166">SUM(C259+D259+E259+H259+I259+J259+M259+N259+O259+R259+S259+T259)/12</f>
        <v>455.83416666666659</v>
      </c>
      <c r="X259" s="65">
        <f t="shared" ref="X259:X272" si="167">W259*365</f>
        <v>166379.4708333333</v>
      </c>
    </row>
    <row r="260" spans="1:24" ht="16.5" thickBot="1" x14ac:dyDescent="0.3">
      <c r="A260" s="49" t="s">
        <v>127</v>
      </c>
      <c r="B260" s="43" t="s">
        <v>248</v>
      </c>
      <c r="C260" s="126">
        <v>107</v>
      </c>
      <c r="D260" s="126">
        <v>110</v>
      </c>
      <c r="E260" s="118">
        <v>112</v>
      </c>
      <c r="F260" s="63">
        <f t="shared" si="158"/>
        <v>109.66666666666667</v>
      </c>
      <c r="G260" s="108">
        <f t="shared" si="159"/>
        <v>10089.333333333334</v>
      </c>
      <c r="H260" s="118">
        <v>115.26</v>
      </c>
      <c r="I260" s="118">
        <v>124.97</v>
      </c>
      <c r="J260" s="118">
        <v>117.65</v>
      </c>
      <c r="K260" s="63">
        <f t="shared" si="160"/>
        <v>119.29333333333334</v>
      </c>
      <c r="L260" s="108">
        <f t="shared" si="161"/>
        <v>10974.986666666668</v>
      </c>
      <c r="M260" s="118">
        <v>124.52</v>
      </c>
      <c r="N260" s="86">
        <v>128.5</v>
      </c>
      <c r="O260" s="86">
        <v>113.94</v>
      </c>
      <c r="P260" s="63">
        <f t="shared" si="162"/>
        <v>122.32</v>
      </c>
      <c r="Q260" s="108">
        <f t="shared" si="163"/>
        <v>11008.8</v>
      </c>
      <c r="R260" s="118">
        <v>112.1</v>
      </c>
      <c r="S260" s="86">
        <v>117.43</v>
      </c>
      <c r="T260" s="89">
        <v>115.97</v>
      </c>
      <c r="U260" s="63">
        <f t="shared" si="164"/>
        <v>115.16666666666667</v>
      </c>
      <c r="V260" s="111">
        <f t="shared" si="165"/>
        <v>10480.166666666668</v>
      </c>
      <c r="W260" s="64">
        <f t="shared" si="166"/>
        <v>116.61166666666666</v>
      </c>
      <c r="X260" s="65">
        <f t="shared" si="167"/>
        <v>42563.258333333331</v>
      </c>
    </row>
    <row r="261" spans="1:24" ht="16.5" thickBot="1" x14ac:dyDescent="0.3">
      <c r="A261" s="50" t="s">
        <v>276</v>
      </c>
      <c r="B261" s="44" t="s">
        <v>281</v>
      </c>
      <c r="C261" s="4">
        <v>425</v>
      </c>
      <c r="D261" s="4">
        <v>441</v>
      </c>
      <c r="E261" s="3">
        <v>444</v>
      </c>
      <c r="F261" s="63">
        <f t="shared" si="158"/>
        <v>436.66666666666669</v>
      </c>
      <c r="G261" s="108">
        <f t="shared" si="159"/>
        <v>40173.333333333336</v>
      </c>
      <c r="H261" s="3">
        <v>458.13</v>
      </c>
      <c r="I261" s="3">
        <v>468.57</v>
      </c>
      <c r="J261" s="3">
        <v>465.19</v>
      </c>
      <c r="K261" s="63">
        <f t="shared" si="160"/>
        <v>463.96333333333337</v>
      </c>
      <c r="L261" s="108">
        <f t="shared" si="161"/>
        <v>42684.626666666671</v>
      </c>
      <c r="M261" s="3">
        <v>454.74</v>
      </c>
      <c r="N261" s="87">
        <v>468.82</v>
      </c>
      <c r="O261" s="87">
        <v>461.19</v>
      </c>
      <c r="P261" s="63">
        <f t="shared" si="162"/>
        <v>461.58333333333331</v>
      </c>
      <c r="Q261" s="108">
        <f t="shared" si="163"/>
        <v>41542.5</v>
      </c>
      <c r="R261" s="3">
        <v>450.83</v>
      </c>
      <c r="S261" s="87">
        <v>442</v>
      </c>
      <c r="T261" s="90">
        <v>422.6</v>
      </c>
      <c r="U261" s="63">
        <f t="shared" si="164"/>
        <v>438.47666666666663</v>
      </c>
      <c r="V261" s="111">
        <f t="shared" si="165"/>
        <v>39901.376666666663</v>
      </c>
      <c r="W261" s="64">
        <f t="shared" si="166"/>
        <v>450.17250000000007</v>
      </c>
      <c r="X261" s="65">
        <f t="shared" si="167"/>
        <v>164312.96250000002</v>
      </c>
    </row>
    <row r="262" spans="1:24" ht="16.5" thickBot="1" x14ac:dyDescent="0.3">
      <c r="A262" s="50" t="s">
        <v>319</v>
      </c>
      <c r="B262" s="44" t="s">
        <v>318</v>
      </c>
      <c r="C262" s="4">
        <v>268.06</v>
      </c>
      <c r="D262" s="4">
        <v>290</v>
      </c>
      <c r="E262" s="3">
        <v>306</v>
      </c>
      <c r="F262" s="63">
        <f t="shared" si="158"/>
        <v>288.02</v>
      </c>
      <c r="G262" s="108">
        <f t="shared" si="159"/>
        <v>26497.839999999997</v>
      </c>
      <c r="H262" s="3">
        <v>320.81</v>
      </c>
      <c r="I262" s="3">
        <v>308.02999999999997</v>
      </c>
      <c r="J262" s="3">
        <v>297.81</v>
      </c>
      <c r="K262" s="63">
        <f t="shared" si="160"/>
        <v>308.88333333333327</v>
      </c>
      <c r="L262" s="108">
        <f t="shared" si="161"/>
        <v>28417.266666666659</v>
      </c>
      <c r="M262" s="3">
        <v>283.74</v>
      </c>
      <c r="N262" s="87">
        <v>274.61</v>
      </c>
      <c r="O262" s="87">
        <v>279.26</v>
      </c>
      <c r="P262" s="63">
        <f t="shared" si="162"/>
        <v>279.20333333333332</v>
      </c>
      <c r="Q262" s="108">
        <f t="shared" si="163"/>
        <v>25128.3</v>
      </c>
      <c r="R262" s="3">
        <v>289.5</v>
      </c>
      <c r="S262" s="87">
        <v>300.13</v>
      </c>
      <c r="T262" s="90">
        <v>306.52999999999997</v>
      </c>
      <c r="U262" s="63">
        <f t="shared" si="164"/>
        <v>298.71999999999997</v>
      </c>
      <c r="V262" s="111">
        <f t="shared" si="165"/>
        <v>27183.519999999997</v>
      </c>
      <c r="W262" s="64">
        <f t="shared" si="166"/>
        <v>293.70666666666665</v>
      </c>
      <c r="X262" s="65">
        <f t="shared" si="167"/>
        <v>107202.93333333332</v>
      </c>
    </row>
    <row r="263" spans="1:24" ht="16.5" thickBot="1" x14ac:dyDescent="0.3">
      <c r="A263" s="51" t="s">
        <v>259</v>
      </c>
      <c r="B263" s="44" t="s">
        <v>283</v>
      </c>
      <c r="C263" s="4">
        <v>370.13</v>
      </c>
      <c r="D263" s="4">
        <v>366</v>
      </c>
      <c r="E263" s="3">
        <v>366</v>
      </c>
      <c r="F263" s="63">
        <f t="shared" si="158"/>
        <v>367.37666666666672</v>
      </c>
      <c r="G263" s="108">
        <f t="shared" si="159"/>
        <v>33798.653333333335</v>
      </c>
      <c r="H263" s="3">
        <v>375.87</v>
      </c>
      <c r="I263" s="3">
        <v>377.57</v>
      </c>
      <c r="J263" s="3">
        <v>389.61</v>
      </c>
      <c r="K263" s="63">
        <f t="shared" si="160"/>
        <v>381.01666666666671</v>
      </c>
      <c r="L263" s="108">
        <f t="shared" si="161"/>
        <v>35053.53333333334</v>
      </c>
      <c r="M263" s="3">
        <v>390.74</v>
      </c>
      <c r="N263" s="87">
        <v>394.11</v>
      </c>
      <c r="O263" s="87">
        <v>400.77</v>
      </c>
      <c r="P263" s="63">
        <f t="shared" si="162"/>
        <v>395.20666666666665</v>
      </c>
      <c r="Q263" s="108">
        <f t="shared" si="163"/>
        <v>35568.6</v>
      </c>
      <c r="R263" s="3">
        <v>396.73</v>
      </c>
      <c r="S263" s="87">
        <v>378.57</v>
      </c>
      <c r="T263" s="90">
        <v>367.73</v>
      </c>
      <c r="U263" s="63">
        <f t="shared" si="164"/>
        <v>381.01</v>
      </c>
      <c r="V263" s="111">
        <f t="shared" si="165"/>
        <v>34671.909999999996</v>
      </c>
      <c r="W263" s="64">
        <f t="shared" si="166"/>
        <v>381.15249999999997</v>
      </c>
      <c r="X263" s="65">
        <f t="shared" si="167"/>
        <v>139120.66249999998</v>
      </c>
    </row>
    <row r="264" spans="1:24" ht="16.5" thickBot="1" x14ac:dyDescent="0.3">
      <c r="A264" s="50" t="s">
        <v>15</v>
      </c>
      <c r="B264" s="44" t="s">
        <v>252</v>
      </c>
      <c r="C264" s="4">
        <v>54.194000000000003</v>
      </c>
      <c r="D264" s="4">
        <v>55</v>
      </c>
      <c r="E264" s="3">
        <v>61</v>
      </c>
      <c r="F264" s="63">
        <f t="shared" si="158"/>
        <v>56.731333333333339</v>
      </c>
      <c r="G264" s="108">
        <f t="shared" si="159"/>
        <v>5219.282666666667</v>
      </c>
      <c r="H264" s="3">
        <v>66.096999999999994</v>
      </c>
      <c r="I264" s="3">
        <v>61.832999999999998</v>
      </c>
      <c r="J264" s="3">
        <v>59.805999999999997</v>
      </c>
      <c r="K264" s="63">
        <f t="shared" si="160"/>
        <v>62.578666666666663</v>
      </c>
      <c r="L264" s="108">
        <f t="shared" si="161"/>
        <v>5757.2373333333326</v>
      </c>
      <c r="M264" s="3">
        <v>68.129000000000005</v>
      </c>
      <c r="N264" s="87">
        <v>68.412999999999997</v>
      </c>
      <c r="O264" s="87">
        <v>67.677000000000007</v>
      </c>
      <c r="P264" s="63">
        <f t="shared" si="162"/>
        <v>68.072999999999993</v>
      </c>
      <c r="Q264" s="108">
        <f t="shared" si="163"/>
        <v>6126.57</v>
      </c>
      <c r="R264" s="3">
        <v>61.633000000000003</v>
      </c>
      <c r="S264" s="87">
        <v>51.5</v>
      </c>
      <c r="T264" s="90">
        <v>48.27</v>
      </c>
      <c r="U264" s="63">
        <f t="shared" si="164"/>
        <v>53.801000000000009</v>
      </c>
      <c r="V264" s="111">
        <f t="shared" si="165"/>
        <v>4895.8910000000005</v>
      </c>
      <c r="W264" s="64">
        <f t="shared" si="166"/>
        <v>60.295999999999999</v>
      </c>
      <c r="X264" s="65">
        <f t="shared" si="167"/>
        <v>22008.04</v>
      </c>
    </row>
    <row r="265" spans="1:24" ht="16.5" thickBot="1" x14ac:dyDescent="0.3">
      <c r="A265" s="50" t="s">
        <v>16</v>
      </c>
      <c r="B265" s="44" t="s">
        <v>284</v>
      </c>
      <c r="C265" s="4">
        <v>188.19</v>
      </c>
      <c r="D265" s="4">
        <v>215</v>
      </c>
      <c r="E265" s="3">
        <v>228</v>
      </c>
      <c r="F265" s="63">
        <f t="shared" si="158"/>
        <v>210.39666666666668</v>
      </c>
      <c r="G265" s="108">
        <f t="shared" si="159"/>
        <v>19356.493333333336</v>
      </c>
      <c r="H265" s="3">
        <v>220.16</v>
      </c>
      <c r="I265" s="3">
        <v>218.23</v>
      </c>
      <c r="J265" s="3">
        <v>211.42</v>
      </c>
      <c r="K265" s="63">
        <f t="shared" si="160"/>
        <v>216.60333333333332</v>
      </c>
      <c r="L265" s="108">
        <f t="shared" si="161"/>
        <v>19927.506666666664</v>
      </c>
      <c r="M265" s="3">
        <v>211.23</v>
      </c>
      <c r="N265" s="87">
        <v>233.18</v>
      </c>
      <c r="O265" s="87">
        <v>224.84</v>
      </c>
      <c r="P265" s="63">
        <f t="shared" si="162"/>
        <v>223.08333333333334</v>
      </c>
      <c r="Q265" s="108">
        <f t="shared" si="163"/>
        <v>20077.5</v>
      </c>
      <c r="R265" s="3">
        <v>204.8</v>
      </c>
      <c r="S265" s="87">
        <v>206.77</v>
      </c>
      <c r="T265" s="90">
        <v>196.67</v>
      </c>
      <c r="U265" s="63">
        <f t="shared" si="164"/>
        <v>202.74666666666667</v>
      </c>
      <c r="V265" s="111">
        <f t="shared" si="165"/>
        <v>18449.946666666667</v>
      </c>
      <c r="W265" s="64">
        <f t="shared" si="166"/>
        <v>213.20750000000001</v>
      </c>
      <c r="X265" s="65">
        <f t="shared" si="167"/>
        <v>77820.737500000003</v>
      </c>
    </row>
    <row r="266" spans="1:24" ht="16.5" thickBot="1" x14ac:dyDescent="0.3">
      <c r="A266" s="50" t="s">
        <v>129</v>
      </c>
      <c r="B266" s="44" t="s">
        <v>285</v>
      </c>
      <c r="C266" s="4">
        <v>93.257999999999996</v>
      </c>
      <c r="D266" s="4">
        <v>102</v>
      </c>
      <c r="E266" s="3">
        <v>113</v>
      </c>
      <c r="F266" s="63">
        <f t="shared" si="158"/>
        <v>102.75266666666666</v>
      </c>
      <c r="G266" s="108">
        <f t="shared" si="159"/>
        <v>9453.2453333333324</v>
      </c>
      <c r="H266" s="3">
        <v>111.74</v>
      </c>
      <c r="I266" s="3">
        <v>109.97</v>
      </c>
      <c r="J266" s="3">
        <v>108.94</v>
      </c>
      <c r="K266" s="63">
        <f t="shared" si="160"/>
        <v>110.21666666666665</v>
      </c>
      <c r="L266" s="108">
        <f t="shared" si="161"/>
        <v>10139.933333333332</v>
      </c>
      <c r="M266" s="3">
        <v>112.16</v>
      </c>
      <c r="N266" s="87">
        <v>106.54</v>
      </c>
      <c r="O266" s="87">
        <v>105.13</v>
      </c>
      <c r="P266" s="63">
        <f t="shared" si="162"/>
        <v>107.94333333333333</v>
      </c>
      <c r="Q266" s="108">
        <f t="shared" si="163"/>
        <v>9714.9</v>
      </c>
      <c r="R266" s="3">
        <v>106.23</v>
      </c>
      <c r="S266" s="87">
        <v>102.87</v>
      </c>
      <c r="T266" s="90">
        <v>107.07</v>
      </c>
      <c r="U266" s="63">
        <f t="shared" si="164"/>
        <v>105.39</v>
      </c>
      <c r="V266" s="111">
        <f t="shared" si="165"/>
        <v>9590.49</v>
      </c>
      <c r="W266" s="64">
        <f t="shared" si="166"/>
        <v>106.57566666666663</v>
      </c>
      <c r="X266" s="65">
        <f t="shared" si="167"/>
        <v>38900.118333333325</v>
      </c>
    </row>
    <row r="267" spans="1:24" ht="16.5" thickBot="1" x14ac:dyDescent="0.3">
      <c r="A267" s="51" t="s">
        <v>260</v>
      </c>
      <c r="B267" s="44" t="s">
        <v>292</v>
      </c>
      <c r="C267" s="4">
        <v>494.49</v>
      </c>
      <c r="D267" s="4">
        <v>502</v>
      </c>
      <c r="E267" s="3">
        <v>502</v>
      </c>
      <c r="F267" s="63">
        <f t="shared" si="158"/>
        <v>499.49666666666667</v>
      </c>
      <c r="G267" s="108">
        <f t="shared" si="159"/>
        <v>45953.693333333336</v>
      </c>
      <c r="H267" s="3">
        <f>331.61+175.77</f>
        <v>507.38</v>
      </c>
      <c r="I267" s="3">
        <f>332.7+175.63</f>
        <v>508.33</v>
      </c>
      <c r="J267" s="3">
        <f>318.94+175.81</f>
        <v>494.75</v>
      </c>
      <c r="K267" s="63">
        <f t="shared" si="160"/>
        <v>503.48666666666668</v>
      </c>
      <c r="L267" s="108">
        <f t="shared" si="161"/>
        <v>46320.773333333331</v>
      </c>
      <c r="M267" s="3">
        <f>327.19+175.65</f>
        <v>502.84000000000003</v>
      </c>
      <c r="N267" s="87">
        <f>321.29+175.71</f>
        <v>497</v>
      </c>
      <c r="O267" s="87">
        <f>314.71+174.97</f>
        <v>489.67999999999995</v>
      </c>
      <c r="P267" s="63">
        <f t="shared" si="162"/>
        <v>496.50666666666666</v>
      </c>
      <c r="Q267" s="108">
        <f t="shared" si="163"/>
        <v>44685.599999999999</v>
      </c>
      <c r="R267" s="3">
        <f>327.13+175.83</f>
        <v>502.96000000000004</v>
      </c>
      <c r="S267" s="87">
        <f>325.87+175.63</f>
        <v>501.5</v>
      </c>
      <c r="T267" s="90">
        <f>323.3+175.53</f>
        <v>498.83000000000004</v>
      </c>
      <c r="U267" s="63">
        <f t="shared" si="164"/>
        <v>501.09666666666664</v>
      </c>
      <c r="V267" s="111">
        <f t="shared" si="165"/>
        <v>45599.796666666662</v>
      </c>
      <c r="W267" s="64">
        <f t="shared" si="166"/>
        <v>500.1466666666667</v>
      </c>
      <c r="X267" s="65">
        <f t="shared" si="167"/>
        <v>182553.53333333335</v>
      </c>
    </row>
    <row r="268" spans="1:24" ht="16.5" thickBot="1" x14ac:dyDescent="0.3">
      <c r="A268" s="50" t="s">
        <v>138</v>
      </c>
      <c r="B268" s="121" t="s">
        <v>286</v>
      </c>
      <c r="C268" s="4">
        <v>119.29</v>
      </c>
      <c r="D268" s="4">
        <v>119</v>
      </c>
      <c r="E268" s="3">
        <v>117</v>
      </c>
      <c r="F268" s="63">
        <f t="shared" si="158"/>
        <v>118.43</v>
      </c>
      <c r="G268" s="108">
        <f t="shared" si="159"/>
        <v>10895.560000000001</v>
      </c>
      <c r="H268" s="3">
        <v>109.48</v>
      </c>
      <c r="I268" s="3">
        <v>115.37</v>
      </c>
      <c r="J268" s="3">
        <v>107.9</v>
      </c>
      <c r="K268" s="63">
        <f t="shared" si="160"/>
        <v>110.91666666666667</v>
      </c>
      <c r="L268" s="108">
        <f t="shared" si="161"/>
        <v>10204.333333333334</v>
      </c>
      <c r="M268" s="3">
        <v>105.03</v>
      </c>
      <c r="N268" s="87">
        <v>110.5</v>
      </c>
      <c r="O268" s="87">
        <v>115.77</v>
      </c>
      <c r="P268" s="63">
        <f t="shared" si="162"/>
        <v>110.43333333333334</v>
      </c>
      <c r="Q268" s="108">
        <f t="shared" si="163"/>
        <v>9939</v>
      </c>
      <c r="R268" s="3">
        <v>124.97</v>
      </c>
      <c r="S268" s="87">
        <v>123.23</v>
      </c>
      <c r="T268" s="90">
        <v>125.17</v>
      </c>
      <c r="U268" s="63">
        <f t="shared" si="164"/>
        <v>124.45666666666666</v>
      </c>
      <c r="V268" s="111">
        <f t="shared" si="165"/>
        <v>11325.556666666665</v>
      </c>
      <c r="W268" s="64">
        <f t="shared" si="166"/>
        <v>116.05916666666667</v>
      </c>
      <c r="X268" s="65">
        <f t="shared" si="167"/>
        <v>42361.595833333333</v>
      </c>
    </row>
    <row r="269" spans="1:24" ht="16.5" thickBot="1" x14ac:dyDescent="0.3">
      <c r="A269" s="49" t="s">
        <v>19</v>
      </c>
      <c r="B269" s="43" t="s">
        <v>287</v>
      </c>
      <c r="C269" s="126">
        <v>558.1</v>
      </c>
      <c r="D269" s="126">
        <v>557</v>
      </c>
      <c r="E269" s="118">
        <v>556</v>
      </c>
      <c r="F269" s="63">
        <f t="shared" si="158"/>
        <v>557.0333333333333</v>
      </c>
      <c r="G269" s="108">
        <f t="shared" si="159"/>
        <v>51247.066666666666</v>
      </c>
      <c r="H269" s="118">
        <v>557.32000000000005</v>
      </c>
      <c r="I269" s="3">
        <v>554.23</v>
      </c>
      <c r="J269" s="118">
        <v>523.16</v>
      </c>
      <c r="K269" s="63">
        <f t="shared" si="160"/>
        <v>544.90333333333331</v>
      </c>
      <c r="L269" s="111">
        <f t="shared" si="161"/>
        <v>50131.106666666667</v>
      </c>
      <c r="M269" s="3">
        <v>551.94000000000005</v>
      </c>
      <c r="N269" s="86">
        <v>544.54</v>
      </c>
      <c r="O269" s="86">
        <v>544.94000000000005</v>
      </c>
      <c r="P269" s="63">
        <f t="shared" si="162"/>
        <v>547.14</v>
      </c>
      <c r="Q269" s="108">
        <f t="shared" si="163"/>
        <v>49242.6</v>
      </c>
      <c r="R269" s="3">
        <v>548.92999999999995</v>
      </c>
      <c r="S269" s="86">
        <v>543.92999999999995</v>
      </c>
      <c r="T269" s="89">
        <v>549</v>
      </c>
      <c r="U269" s="63">
        <f t="shared" si="164"/>
        <v>547.28666666666663</v>
      </c>
      <c r="V269" s="111">
        <f t="shared" si="165"/>
        <v>49803.086666666662</v>
      </c>
      <c r="W269" s="64">
        <f t="shared" si="166"/>
        <v>549.09083333333331</v>
      </c>
      <c r="X269" s="65">
        <f t="shared" si="167"/>
        <v>200418.15416666665</v>
      </c>
    </row>
    <row r="270" spans="1:24" ht="16.5" thickBot="1" x14ac:dyDescent="0.3">
      <c r="A270" s="51" t="s">
        <v>261</v>
      </c>
      <c r="B270" s="44" t="s">
        <v>288</v>
      </c>
      <c r="C270" s="4">
        <v>375.78</v>
      </c>
      <c r="D270" s="4">
        <v>379</v>
      </c>
      <c r="E270" s="3">
        <v>366</v>
      </c>
      <c r="F270" s="63">
        <f t="shared" si="158"/>
        <v>373.59333333333331</v>
      </c>
      <c r="G270" s="108">
        <f t="shared" si="159"/>
        <v>34370.586666666662</v>
      </c>
      <c r="H270" s="3">
        <f>259.71+116.16</f>
        <v>375.87</v>
      </c>
      <c r="I270" s="3">
        <f>262.17+112.1</f>
        <v>374.27</v>
      </c>
      <c r="J270" s="3">
        <f>253.42+110.48</f>
        <v>363.9</v>
      </c>
      <c r="K270" s="63">
        <f t="shared" si="160"/>
        <v>371.34666666666664</v>
      </c>
      <c r="L270" s="108">
        <f t="shared" si="161"/>
        <v>34163.893333333333</v>
      </c>
      <c r="M270" s="3">
        <f>258.71+118.81</f>
        <v>377.52</v>
      </c>
      <c r="N270" s="87">
        <f>253.21+120.21</f>
        <v>373.42</v>
      </c>
      <c r="O270" s="87">
        <f>258.97+124.06</f>
        <v>383.03000000000003</v>
      </c>
      <c r="P270" s="63">
        <f t="shared" si="162"/>
        <v>377.99</v>
      </c>
      <c r="Q270" s="108">
        <f t="shared" si="163"/>
        <v>34019.1</v>
      </c>
      <c r="R270" s="3">
        <f>281.43+127.87</f>
        <v>409.3</v>
      </c>
      <c r="S270" s="87">
        <f>285.5+122.7</f>
        <v>408.2</v>
      </c>
      <c r="T270" s="90">
        <f>275.53+120.6</f>
        <v>396.13</v>
      </c>
      <c r="U270" s="63">
        <f t="shared" si="164"/>
        <v>404.54333333333335</v>
      </c>
      <c r="V270" s="111">
        <f t="shared" si="165"/>
        <v>36813.443333333336</v>
      </c>
      <c r="W270" s="64">
        <f t="shared" si="166"/>
        <v>381.8683333333334</v>
      </c>
      <c r="X270" s="65">
        <f t="shared" si="167"/>
        <v>139381.94166666668</v>
      </c>
    </row>
    <row r="271" spans="1:24" ht="16.5" thickBot="1" x14ac:dyDescent="0.3">
      <c r="A271" s="50" t="s">
        <v>130</v>
      </c>
      <c r="B271" s="44" t="s">
        <v>289</v>
      </c>
      <c r="C271" s="4">
        <v>125.77</v>
      </c>
      <c r="D271" s="4">
        <v>126</v>
      </c>
      <c r="E271" s="3">
        <v>124</v>
      </c>
      <c r="F271" s="63">
        <f t="shared" si="158"/>
        <v>125.25666666666666</v>
      </c>
      <c r="G271" s="108">
        <f t="shared" si="159"/>
        <v>11523.613333333333</v>
      </c>
      <c r="H271" s="3">
        <v>124.84</v>
      </c>
      <c r="I271" s="3">
        <v>127.93</v>
      </c>
      <c r="J271" s="3">
        <v>115.35</v>
      </c>
      <c r="K271" s="63">
        <f t="shared" si="160"/>
        <v>122.70666666666666</v>
      </c>
      <c r="L271" s="108">
        <f t="shared" si="161"/>
        <v>11289.013333333332</v>
      </c>
      <c r="M271" s="3">
        <v>125.16</v>
      </c>
      <c r="N271" s="87">
        <v>135.43</v>
      </c>
      <c r="O271" s="87">
        <v>140.29</v>
      </c>
      <c r="P271" s="63">
        <f t="shared" si="162"/>
        <v>133.62666666666667</v>
      </c>
      <c r="Q271" s="108">
        <f t="shared" si="163"/>
        <v>12026.4</v>
      </c>
      <c r="R271" s="3">
        <v>131.63</v>
      </c>
      <c r="S271" s="87">
        <v>132.87</v>
      </c>
      <c r="T271" s="90">
        <v>133.30000000000001</v>
      </c>
      <c r="U271" s="63">
        <f t="shared" si="164"/>
        <v>132.6</v>
      </c>
      <c r="V271" s="111">
        <f t="shared" si="165"/>
        <v>12066.6</v>
      </c>
      <c r="W271" s="64">
        <f t="shared" si="166"/>
        <v>128.54749999999999</v>
      </c>
      <c r="X271" s="65">
        <f t="shared" si="167"/>
        <v>46919.837499999994</v>
      </c>
    </row>
    <row r="272" spans="1:24" ht="16.5" thickBot="1" x14ac:dyDescent="0.3">
      <c r="A272" s="50" t="s">
        <v>131</v>
      </c>
      <c r="B272" s="34"/>
      <c r="C272" s="4">
        <v>0</v>
      </c>
      <c r="D272" s="4">
        <v>0</v>
      </c>
      <c r="E272" s="18"/>
      <c r="F272" s="67">
        <f t="shared" si="158"/>
        <v>0</v>
      </c>
      <c r="G272" s="108">
        <f t="shared" si="159"/>
        <v>0</v>
      </c>
      <c r="H272" s="18"/>
      <c r="I272" s="18"/>
      <c r="J272" s="18"/>
      <c r="K272" s="67">
        <f t="shared" si="160"/>
        <v>0</v>
      </c>
      <c r="L272" s="108">
        <f t="shared" si="161"/>
        <v>0</v>
      </c>
      <c r="M272" s="18"/>
      <c r="N272" s="4"/>
      <c r="O272" s="87"/>
      <c r="P272" s="67">
        <f t="shared" si="162"/>
        <v>0</v>
      </c>
      <c r="Q272" s="108">
        <f t="shared" si="163"/>
        <v>0</v>
      </c>
      <c r="R272" s="3"/>
      <c r="S272" s="3"/>
      <c r="T272" s="4"/>
      <c r="U272" s="67">
        <f t="shared" si="164"/>
        <v>0</v>
      </c>
      <c r="V272" s="112">
        <f t="shared" si="165"/>
        <v>0</v>
      </c>
      <c r="W272" s="137">
        <f t="shared" si="166"/>
        <v>0</v>
      </c>
      <c r="X272" s="65">
        <f t="shared" si="167"/>
        <v>0</v>
      </c>
    </row>
    <row r="273" spans="1:24" ht="16.5" thickBot="1" x14ac:dyDescent="0.3">
      <c r="A273" s="46" t="s">
        <v>139</v>
      </c>
      <c r="B273" s="35"/>
      <c r="C273" s="80">
        <f>SUM(C259:C272)</f>
        <v>3637.7419999999997</v>
      </c>
      <c r="D273" s="80">
        <f>SUM(D259:D272)</f>
        <v>3709</v>
      </c>
      <c r="E273" s="80">
        <f>SUM(E259:E272)</f>
        <v>3763</v>
      </c>
      <c r="F273" s="68">
        <f t="shared" si="158"/>
        <v>3703.2473333333332</v>
      </c>
      <c r="G273" s="108">
        <f t="shared" si="159"/>
        <v>340698.75466666667</v>
      </c>
      <c r="H273" s="94">
        <f>SUM(H259:H272)</f>
        <v>3829.4070000000002</v>
      </c>
      <c r="I273" s="80">
        <f>SUM(I259:I272)</f>
        <v>3834.9729999999995</v>
      </c>
      <c r="J273" s="80">
        <f>SUM(J259:J272)</f>
        <v>3720.8760000000002</v>
      </c>
      <c r="K273" s="68">
        <f t="shared" si="160"/>
        <v>3795.085333333333</v>
      </c>
      <c r="L273" s="119">
        <f t="shared" si="161"/>
        <v>349147.85066666664</v>
      </c>
      <c r="M273" s="9">
        <f>SUM(M259:M272)</f>
        <v>3758.1690000000003</v>
      </c>
      <c r="N273" s="80">
        <f>SUM(N259:N272)</f>
        <v>3798.9530000000004</v>
      </c>
      <c r="O273" s="80">
        <f>SUM(O259:O272)</f>
        <v>3786.9669999999996</v>
      </c>
      <c r="P273" s="68">
        <f t="shared" si="162"/>
        <v>3781.3629999999998</v>
      </c>
      <c r="Q273" s="119">
        <f t="shared" si="163"/>
        <v>340322.67</v>
      </c>
      <c r="R273" s="94">
        <f>SUM(R259:R272)</f>
        <v>3771.643</v>
      </c>
      <c r="S273" s="80">
        <f>SUM(S259:S272)</f>
        <v>3738.8299999999995</v>
      </c>
      <c r="T273" s="81">
        <f>SUM(T259:T272)</f>
        <v>3689.6700000000005</v>
      </c>
      <c r="U273" s="68">
        <f t="shared" si="164"/>
        <v>3733.3809999999999</v>
      </c>
      <c r="V273" s="120">
        <f t="shared" si="165"/>
        <v>339737.67099999997</v>
      </c>
      <c r="W273" s="138">
        <f t="shared" si="166"/>
        <v>3753.2691666666665</v>
      </c>
      <c r="X273" s="69">
        <f>SUM(X259:X272)</f>
        <v>1369943.2458333331</v>
      </c>
    </row>
    <row r="274" spans="1:24" ht="16.5" thickBot="1" x14ac:dyDescent="0.3">
      <c r="A274" s="46" t="s">
        <v>140</v>
      </c>
      <c r="B274" s="35"/>
      <c r="C274" s="70"/>
      <c r="D274" s="70"/>
      <c r="E274" s="71"/>
      <c r="F274" s="98"/>
      <c r="G274" s="98"/>
      <c r="H274" s="72"/>
      <c r="I274" s="70" t="s">
        <v>236</v>
      </c>
      <c r="J274" s="71"/>
      <c r="K274" s="97"/>
      <c r="L274" s="97"/>
      <c r="M274" s="72"/>
      <c r="N274" s="70"/>
      <c r="O274" s="71"/>
      <c r="P274" s="97"/>
      <c r="Q274" s="97"/>
      <c r="R274" s="72"/>
      <c r="S274" s="70"/>
      <c r="T274" s="71"/>
      <c r="U274" s="71"/>
      <c r="V274" s="70"/>
      <c r="W274" s="96"/>
      <c r="X274" s="69" t="s">
        <v>0</v>
      </c>
    </row>
    <row r="275" spans="1:24" ht="16.5" customHeight="1" thickBot="1" x14ac:dyDescent="0.3">
      <c r="A275" s="49" t="s">
        <v>132</v>
      </c>
      <c r="B275" s="33"/>
      <c r="C275" s="6">
        <v>688</v>
      </c>
      <c r="D275" s="6">
        <v>706</v>
      </c>
      <c r="E275" s="6">
        <v>719</v>
      </c>
      <c r="F275" s="63">
        <f t="shared" ref="F275:F281" si="168">SUM(C275:E275)/3</f>
        <v>704.33333333333337</v>
      </c>
      <c r="G275" s="108">
        <f t="shared" ref="G275:G281" si="169">F275*92</f>
        <v>64798.666666666672</v>
      </c>
      <c r="H275" s="6">
        <v>718.35</v>
      </c>
      <c r="I275" s="6">
        <v>722</v>
      </c>
      <c r="J275" s="6">
        <v>698.06</v>
      </c>
      <c r="K275" s="63">
        <f t="shared" ref="K275:K282" si="170">SUM(H275:J275)/3</f>
        <v>712.80333333333328</v>
      </c>
      <c r="L275" s="108">
        <f t="shared" ref="L275:L281" si="171">K275*92</f>
        <v>65577.906666666662</v>
      </c>
      <c r="M275" s="6">
        <v>708.45</v>
      </c>
      <c r="N275" s="73">
        <v>729.86</v>
      </c>
      <c r="O275" s="73">
        <v>725.58</v>
      </c>
      <c r="P275" s="63">
        <f t="shared" ref="P275:P282" si="172">SUM(M275:O275)/3</f>
        <v>721.29666666666662</v>
      </c>
      <c r="Q275" s="108">
        <f t="shared" ref="Q275:Q281" si="173">P275*90</f>
        <v>64916.7</v>
      </c>
      <c r="R275" s="6">
        <v>736.43</v>
      </c>
      <c r="S275" s="73">
        <v>737.19</v>
      </c>
      <c r="T275" s="74">
        <v>743.2</v>
      </c>
      <c r="U275" s="63">
        <f t="shared" ref="U275:U282" si="174">SUM(R275:T275)/3</f>
        <v>738.93999999999994</v>
      </c>
      <c r="V275" s="111">
        <f t="shared" ref="V275:V281" si="175">U275*91</f>
        <v>67243.539999999994</v>
      </c>
      <c r="W275" s="64">
        <f t="shared" ref="W275:W280" si="176">SUM(C275+D275+E275+H275+I275+J275+M275+N275+O275+R275+S275+T275)/12</f>
        <v>719.34333333333336</v>
      </c>
      <c r="X275" s="65">
        <f t="shared" ref="X275:X280" si="177">W275*365</f>
        <v>262560.31666666665</v>
      </c>
    </row>
    <row r="276" spans="1:24" ht="16.5" thickBot="1" x14ac:dyDescent="0.3">
      <c r="A276" s="50" t="s">
        <v>133</v>
      </c>
      <c r="B276" s="34"/>
      <c r="C276" s="5">
        <v>11</v>
      </c>
      <c r="D276" s="5">
        <v>10</v>
      </c>
      <c r="E276" s="5">
        <v>10</v>
      </c>
      <c r="F276" s="63">
        <f t="shared" si="168"/>
        <v>10.333333333333334</v>
      </c>
      <c r="G276" s="108">
        <f t="shared" si="169"/>
        <v>950.66666666666674</v>
      </c>
      <c r="H276" s="5">
        <v>9.58</v>
      </c>
      <c r="I276" s="5">
        <v>11</v>
      </c>
      <c r="J276" s="5">
        <v>8.9700000000000006</v>
      </c>
      <c r="K276" s="63">
        <f t="shared" si="170"/>
        <v>9.85</v>
      </c>
      <c r="L276" s="108">
        <f t="shared" si="171"/>
        <v>906.19999999999993</v>
      </c>
      <c r="M276" s="5">
        <v>11.03</v>
      </c>
      <c r="N276" s="75">
        <v>11</v>
      </c>
      <c r="O276" s="75">
        <v>10.29</v>
      </c>
      <c r="P276" s="63">
        <f t="shared" si="172"/>
        <v>10.773333333333333</v>
      </c>
      <c r="Q276" s="108">
        <f t="shared" si="173"/>
        <v>969.6</v>
      </c>
      <c r="R276" s="5">
        <v>9.43</v>
      </c>
      <c r="S276" s="75">
        <v>10.35</v>
      </c>
      <c r="T276" s="76">
        <v>11</v>
      </c>
      <c r="U276" s="63">
        <f t="shared" si="174"/>
        <v>10.26</v>
      </c>
      <c r="V276" s="111">
        <f t="shared" si="175"/>
        <v>933.66</v>
      </c>
      <c r="W276" s="64">
        <f t="shared" si="176"/>
        <v>10.304166666666667</v>
      </c>
      <c r="X276" s="66">
        <f t="shared" si="177"/>
        <v>3761.0208333333335</v>
      </c>
    </row>
    <row r="277" spans="1:24" ht="16.5" thickBot="1" x14ac:dyDescent="0.3">
      <c r="A277" s="50" t="s">
        <v>135</v>
      </c>
      <c r="B277" s="34"/>
      <c r="C277" s="5">
        <v>28</v>
      </c>
      <c r="D277" s="5">
        <v>35</v>
      </c>
      <c r="E277" s="5">
        <v>35</v>
      </c>
      <c r="F277" s="63">
        <f t="shared" si="168"/>
        <v>32.666666666666664</v>
      </c>
      <c r="G277" s="108">
        <f t="shared" si="169"/>
        <v>3005.333333333333</v>
      </c>
      <c r="H277" s="5">
        <v>36</v>
      </c>
      <c r="I277" s="5">
        <v>36</v>
      </c>
      <c r="J277" s="5">
        <v>35</v>
      </c>
      <c r="K277" s="63">
        <f t="shared" si="170"/>
        <v>35.666666666666664</v>
      </c>
      <c r="L277" s="108">
        <f t="shared" si="171"/>
        <v>3281.333333333333</v>
      </c>
      <c r="M277" s="5">
        <v>28</v>
      </c>
      <c r="N277" s="75">
        <v>27</v>
      </c>
      <c r="O277" s="75">
        <v>27</v>
      </c>
      <c r="P277" s="63">
        <f t="shared" si="172"/>
        <v>27.333333333333332</v>
      </c>
      <c r="Q277" s="108">
        <f t="shared" si="173"/>
        <v>2460</v>
      </c>
      <c r="R277" s="5">
        <v>26</v>
      </c>
      <c r="S277" s="75">
        <v>29</v>
      </c>
      <c r="T277" s="76">
        <v>29</v>
      </c>
      <c r="U277" s="63">
        <f t="shared" si="174"/>
        <v>28</v>
      </c>
      <c r="V277" s="111">
        <f t="shared" si="175"/>
        <v>2548</v>
      </c>
      <c r="W277" s="64">
        <f t="shared" si="176"/>
        <v>30.916666666666668</v>
      </c>
      <c r="X277" s="65">
        <f t="shared" si="177"/>
        <v>11284.583333333334</v>
      </c>
    </row>
    <row r="278" spans="1:24" ht="16.5" thickBot="1" x14ac:dyDescent="0.3">
      <c r="A278" s="50" t="s">
        <v>134</v>
      </c>
      <c r="B278" s="34"/>
      <c r="C278" s="5">
        <v>224</v>
      </c>
      <c r="D278" s="5">
        <v>229</v>
      </c>
      <c r="E278" s="5">
        <v>236</v>
      </c>
      <c r="F278" s="63">
        <f t="shared" si="168"/>
        <v>229.66666666666666</v>
      </c>
      <c r="G278" s="108">
        <f t="shared" si="169"/>
        <v>21129.333333333332</v>
      </c>
      <c r="H278" s="5">
        <v>250</v>
      </c>
      <c r="I278" s="5">
        <v>253</v>
      </c>
      <c r="J278" s="5">
        <v>229</v>
      </c>
      <c r="K278" s="63">
        <f t="shared" si="170"/>
        <v>244</v>
      </c>
      <c r="L278" s="108">
        <f t="shared" si="171"/>
        <v>22448</v>
      </c>
      <c r="M278" s="5">
        <v>241</v>
      </c>
      <c r="N278" s="75">
        <v>263</v>
      </c>
      <c r="O278" s="75">
        <v>260</v>
      </c>
      <c r="P278" s="63">
        <f t="shared" si="172"/>
        <v>254.66666666666666</v>
      </c>
      <c r="Q278" s="108">
        <f t="shared" si="173"/>
        <v>22920</v>
      </c>
      <c r="R278" s="5">
        <v>278</v>
      </c>
      <c r="S278" s="75">
        <v>289</v>
      </c>
      <c r="T278" s="76">
        <v>284</v>
      </c>
      <c r="U278" s="63">
        <f t="shared" si="174"/>
        <v>283.66666666666669</v>
      </c>
      <c r="V278" s="111">
        <f t="shared" si="175"/>
        <v>25813.666666666668</v>
      </c>
      <c r="W278" s="64">
        <f t="shared" si="176"/>
        <v>253</v>
      </c>
      <c r="X278" s="66">
        <f t="shared" si="177"/>
        <v>92345</v>
      </c>
    </row>
    <row r="279" spans="1:24" ht="16.5" thickBot="1" x14ac:dyDescent="0.3">
      <c r="A279" s="50" t="s">
        <v>334</v>
      </c>
      <c r="B279" s="34"/>
      <c r="C279" s="5">
        <v>765</v>
      </c>
      <c r="D279" s="5">
        <v>764</v>
      </c>
      <c r="E279" s="5">
        <v>764</v>
      </c>
      <c r="F279" s="63">
        <f t="shared" si="168"/>
        <v>764.33333333333337</v>
      </c>
      <c r="G279" s="108">
        <f t="shared" si="169"/>
        <v>70318.666666666672</v>
      </c>
      <c r="H279" s="5">
        <v>756</v>
      </c>
      <c r="I279" s="5">
        <v>750</v>
      </c>
      <c r="J279" s="5">
        <v>809</v>
      </c>
      <c r="K279" s="63">
        <f t="shared" si="170"/>
        <v>771.66666666666663</v>
      </c>
      <c r="L279" s="108">
        <f t="shared" si="171"/>
        <v>70993.333333333328</v>
      </c>
      <c r="M279" s="5">
        <v>830</v>
      </c>
      <c r="N279" s="75">
        <v>849</v>
      </c>
      <c r="O279" s="75">
        <v>867</v>
      </c>
      <c r="P279" s="63">
        <f t="shared" si="172"/>
        <v>848.66666666666663</v>
      </c>
      <c r="Q279" s="108">
        <f t="shared" si="173"/>
        <v>76380</v>
      </c>
      <c r="R279" s="5">
        <v>879</v>
      </c>
      <c r="S279" s="75">
        <v>892</v>
      </c>
      <c r="T279" s="76">
        <v>899</v>
      </c>
      <c r="U279" s="63">
        <f t="shared" si="174"/>
        <v>890</v>
      </c>
      <c r="V279" s="111">
        <f t="shared" si="175"/>
        <v>80990</v>
      </c>
      <c r="W279" s="64">
        <f t="shared" si="176"/>
        <v>818.66666666666663</v>
      </c>
      <c r="X279" s="65">
        <f t="shared" si="177"/>
        <v>298813.33333333331</v>
      </c>
    </row>
    <row r="280" spans="1:24" ht="16.5" thickBot="1" x14ac:dyDescent="0.3">
      <c r="A280" s="50" t="s">
        <v>137</v>
      </c>
      <c r="B280" s="34"/>
      <c r="C280" s="5">
        <v>17</v>
      </c>
      <c r="D280" s="5">
        <v>17</v>
      </c>
      <c r="E280" s="5">
        <v>16</v>
      </c>
      <c r="F280" s="63">
        <f t="shared" si="168"/>
        <v>16.666666666666668</v>
      </c>
      <c r="G280" s="108">
        <f t="shared" si="169"/>
        <v>1533.3333333333335</v>
      </c>
      <c r="H280" s="5">
        <v>16</v>
      </c>
      <c r="I280" s="5">
        <v>16</v>
      </c>
      <c r="J280" s="5">
        <v>16</v>
      </c>
      <c r="K280" s="63">
        <f t="shared" si="170"/>
        <v>16</v>
      </c>
      <c r="L280" s="108">
        <f t="shared" si="171"/>
        <v>1472</v>
      </c>
      <c r="M280" s="5">
        <v>16</v>
      </c>
      <c r="N280" s="75">
        <v>16</v>
      </c>
      <c r="O280" s="75">
        <v>16</v>
      </c>
      <c r="P280" s="63">
        <f t="shared" si="172"/>
        <v>16</v>
      </c>
      <c r="Q280" s="108">
        <f t="shared" si="173"/>
        <v>1440</v>
      </c>
      <c r="R280" s="5">
        <v>17</v>
      </c>
      <c r="S280" s="75">
        <v>19</v>
      </c>
      <c r="T280" s="76">
        <v>19</v>
      </c>
      <c r="U280" s="63">
        <f t="shared" si="174"/>
        <v>18.333333333333332</v>
      </c>
      <c r="V280" s="112">
        <f t="shared" si="175"/>
        <v>1668.3333333333333</v>
      </c>
      <c r="W280" s="64">
        <f t="shared" si="176"/>
        <v>16.75</v>
      </c>
      <c r="X280" s="66">
        <f t="shared" si="177"/>
        <v>6113.75</v>
      </c>
    </row>
    <row r="281" spans="1:24" ht="16.5" thickBot="1" x14ac:dyDescent="0.3">
      <c r="A281" s="53" t="s">
        <v>141</v>
      </c>
      <c r="B281" s="37"/>
      <c r="C281" s="80">
        <f>SUM(C275:C280)</f>
        <v>1733</v>
      </c>
      <c r="D281" s="80">
        <f>SUM(D275:D280)</f>
        <v>1761</v>
      </c>
      <c r="E281" s="80">
        <f>SUM(E275:E280)</f>
        <v>1780</v>
      </c>
      <c r="F281" s="68">
        <f t="shared" si="168"/>
        <v>1758</v>
      </c>
      <c r="G281" s="108">
        <f t="shared" si="169"/>
        <v>161736</v>
      </c>
      <c r="H281" s="94">
        <f>SUM(H275:H280)</f>
        <v>1785.93</v>
      </c>
      <c r="I281" s="80">
        <f>SUM(I275:I280)</f>
        <v>1788</v>
      </c>
      <c r="J281" s="80">
        <f>SUM(J275:J280)</f>
        <v>1796.03</v>
      </c>
      <c r="K281" s="68">
        <f t="shared" si="170"/>
        <v>1789.9866666666667</v>
      </c>
      <c r="L281" s="119">
        <f t="shared" si="171"/>
        <v>164678.77333333335</v>
      </c>
      <c r="M281" s="94">
        <f>SUM(M275:M280)</f>
        <v>1834.48</v>
      </c>
      <c r="N281" s="80">
        <f>SUM(N275:N280)</f>
        <v>1895.8600000000001</v>
      </c>
      <c r="O281" s="80">
        <f>SUM(O275:O280)</f>
        <v>1905.87</v>
      </c>
      <c r="P281" s="68">
        <f t="shared" si="172"/>
        <v>1878.7366666666667</v>
      </c>
      <c r="Q281" s="108">
        <f t="shared" si="173"/>
        <v>169086.3</v>
      </c>
      <c r="R281" s="94">
        <f>SUM(R275:R280)</f>
        <v>1945.86</v>
      </c>
      <c r="S281" s="80">
        <f>SUM(S275:S280)</f>
        <v>1976.54</v>
      </c>
      <c r="T281" s="81">
        <f>SUM(T275:T280)</f>
        <v>1985.2</v>
      </c>
      <c r="U281" s="68">
        <f t="shared" si="174"/>
        <v>1969.1999999999998</v>
      </c>
      <c r="V281" s="120">
        <f t="shared" si="175"/>
        <v>179197.19999999998</v>
      </c>
      <c r="W281" s="69">
        <f>SUM(W275:W280)</f>
        <v>1848.9808333333333</v>
      </c>
      <c r="X281" s="69">
        <f>SUM(X275:X280)</f>
        <v>674878.00416666665</v>
      </c>
    </row>
    <row r="282" spans="1:24" ht="16.5" thickBot="1" x14ac:dyDescent="0.3">
      <c r="A282" s="54" t="s">
        <v>145</v>
      </c>
      <c r="B282" s="38"/>
      <c r="C282" s="80">
        <f>C273+C281</f>
        <v>5370.7420000000002</v>
      </c>
      <c r="D282" s="80">
        <f>D273+D281</f>
        <v>5470</v>
      </c>
      <c r="E282" s="80">
        <f>E273+E281</f>
        <v>5543</v>
      </c>
      <c r="F282" s="80">
        <f>F273+F281</f>
        <v>5461.2473333333328</v>
      </c>
      <c r="G282" s="68">
        <f>SUM(G273+G281)</f>
        <v>502434.75466666667</v>
      </c>
      <c r="H282" s="80">
        <f>H273+H281</f>
        <v>5615.3370000000004</v>
      </c>
      <c r="I282" s="80">
        <f>I273+I281</f>
        <v>5622.973</v>
      </c>
      <c r="J282" s="80">
        <f>J273+J281</f>
        <v>5516.9059999999999</v>
      </c>
      <c r="K282" s="120">
        <f t="shared" si="170"/>
        <v>5585.0720000000001</v>
      </c>
      <c r="L282" s="68">
        <f>SUM(L273+L281)</f>
        <v>513826.62399999995</v>
      </c>
      <c r="M282" s="94">
        <f>M273+M281</f>
        <v>5592.6490000000003</v>
      </c>
      <c r="N282" s="80">
        <f>N273+N281</f>
        <v>5694.8130000000001</v>
      </c>
      <c r="O282" s="80">
        <f>O273+O281</f>
        <v>5692.8369999999995</v>
      </c>
      <c r="P282" s="99">
        <f t="shared" si="172"/>
        <v>5660.0996666666661</v>
      </c>
      <c r="Q282" s="68">
        <f>SUM(Q273+Q281)</f>
        <v>509408.97</v>
      </c>
      <c r="R282" s="94">
        <f>R273+R281</f>
        <v>5717.5029999999997</v>
      </c>
      <c r="S282" s="80">
        <f>S273+S281</f>
        <v>5715.369999999999</v>
      </c>
      <c r="T282" s="81">
        <f>T273+T281</f>
        <v>5674.8700000000008</v>
      </c>
      <c r="U282" s="99">
        <f t="shared" si="174"/>
        <v>5702.581000000001</v>
      </c>
      <c r="V282" s="68">
        <f>SUM(V273+V281)</f>
        <v>518934.87099999993</v>
      </c>
      <c r="W282" s="80">
        <f>W273+W281</f>
        <v>5602.25</v>
      </c>
      <c r="X282" s="82">
        <f>X273+X281</f>
        <v>2044821.2499999998</v>
      </c>
    </row>
    <row r="283" spans="1:24" ht="15.75" x14ac:dyDescent="0.25">
      <c r="A283" s="114"/>
      <c r="B283" s="19"/>
      <c r="C283" s="115"/>
      <c r="D283" s="115"/>
      <c r="E283" s="115"/>
      <c r="F283" s="115"/>
      <c r="G283" s="113"/>
      <c r="H283" s="115"/>
      <c r="I283" s="115"/>
      <c r="J283" s="115"/>
      <c r="K283" s="139"/>
      <c r="L283" s="113"/>
      <c r="M283" s="115"/>
      <c r="N283" s="115"/>
      <c r="O283" s="115"/>
      <c r="P283" s="93"/>
      <c r="Q283" s="113"/>
      <c r="R283" s="115"/>
      <c r="S283" s="115"/>
      <c r="T283" s="115"/>
      <c r="U283" s="93"/>
      <c r="V283" s="113"/>
      <c r="W283" s="115"/>
      <c r="X283" s="115"/>
    </row>
    <row r="285" spans="1:24" ht="16.5" thickBot="1" x14ac:dyDescent="0.25">
      <c r="A285" s="45" t="s">
        <v>144</v>
      </c>
      <c r="B285" s="10"/>
      <c r="C285" s="13"/>
      <c r="D285" s="13"/>
      <c r="E285" s="13"/>
      <c r="F285" s="13"/>
      <c r="G285" s="13"/>
      <c r="H285" s="13"/>
      <c r="I285" s="13"/>
      <c r="J285" s="13"/>
      <c r="K285" s="13"/>
      <c r="L285" s="13"/>
      <c r="M285" s="13"/>
      <c r="N285" s="13"/>
      <c r="O285" s="13"/>
      <c r="P285" s="13"/>
      <c r="Q285" s="13"/>
      <c r="R285" s="13"/>
      <c r="S285" s="13"/>
      <c r="T285" s="13"/>
      <c r="U285" s="13"/>
      <c r="V285" s="13"/>
      <c r="W285" s="13"/>
      <c r="X285" s="13"/>
    </row>
    <row r="286" spans="1:24" ht="16.5" thickBot="1" x14ac:dyDescent="0.3">
      <c r="A286" s="32" t="s">
        <v>279</v>
      </c>
      <c r="B286" s="1055" t="s">
        <v>142</v>
      </c>
      <c r="C286" s="1056"/>
      <c r="D286" s="1056"/>
      <c r="E286" s="1056"/>
      <c r="F286" s="1056"/>
      <c r="G286" s="1056"/>
      <c r="H286" s="1056"/>
      <c r="I286" s="1056"/>
      <c r="J286" s="1056"/>
      <c r="K286" s="1056"/>
      <c r="L286" s="1056"/>
      <c r="M286" s="1056"/>
      <c r="N286" s="1056"/>
      <c r="O286" s="1056"/>
      <c r="P286" s="1056"/>
      <c r="Q286" s="1056"/>
      <c r="R286" s="1056"/>
      <c r="S286" s="1056"/>
      <c r="T286" s="1056"/>
      <c r="U286" s="39"/>
      <c r="V286" s="39"/>
      <c r="W286" s="92"/>
      <c r="X286" s="13"/>
    </row>
    <row r="287" spans="1:24" ht="15.75" x14ac:dyDescent="0.25">
      <c r="A287" s="11"/>
      <c r="B287" s="40" t="s">
        <v>245</v>
      </c>
      <c r="C287" s="57"/>
      <c r="D287" s="58"/>
      <c r="E287" s="58"/>
      <c r="F287" s="1047" t="s">
        <v>242</v>
      </c>
      <c r="G287" s="1039" t="s">
        <v>262</v>
      </c>
      <c r="H287" s="58"/>
      <c r="I287" s="58"/>
      <c r="J287" s="58"/>
      <c r="K287" s="1047" t="s">
        <v>242</v>
      </c>
      <c r="L287" s="1039" t="s">
        <v>262</v>
      </c>
      <c r="M287" s="58"/>
      <c r="N287" s="58"/>
      <c r="O287" s="58"/>
      <c r="P287" s="1047" t="s">
        <v>242</v>
      </c>
      <c r="Q287" s="1039" t="s">
        <v>262</v>
      </c>
      <c r="R287" s="58"/>
      <c r="S287" s="58"/>
      <c r="T287" s="59"/>
      <c r="U287" s="1047" t="s">
        <v>242</v>
      </c>
      <c r="V287" s="1039" t="s">
        <v>262</v>
      </c>
      <c r="W287" s="1041" t="s">
        <v>143</v>
      </c>
      <c r="X287" s="1043" t="s">
        <v>144</v>
      </c>
    </row>
    <row r="288" spans="1:24" ht="24" customHeight="1" thickBot="1" x14ac:dyDescent="0.3">
      <c r="A288" s="47" t="s">
        <v>55</v>
      </c>
      <c r="B288" s="41" t="s">
        <v>246</v>
      </c>
      <c r="C288" s="60">
        <v>39630</v>
      </c>
      <c r="D288" s="61">
        <v>39661</v>
      </c>
      <c r="E288" s="61">
        <v>39692</v>
      </c>
      <c r="F288" s="1048"/>
      <c r="G288" s="1040"/>
      <c r="H288" s="61">
        <v>39722</v>
      </c>
      <c r="I288" s="61">
        <v>39753</v>
      </c>
      <c r="J288" s="61">
        <v>39783</v>
      </c>
      <c r="K288" s="1048"/>
      <c r="L288" s="1040"/>
      <c r="M288" s="61">
        <v>39814</v>
      </c>
      <c r="N288" s="61">
        <v>39845</v>
      </c>
      <c r="O288" s="61">
        <v>39873</v>
      </c>
      <c r="P288" s="1048"/>
      <c r="Q288" s="1040"/>
      <c r="R288" s="61">
        <v>39904</v>
      </c>
      <c r="S288" s="61">
        <v>39934</v>
      </c>
      <c r="T288" s="62">
        <v>39965</v>
      </c>
      <c r="U288" s="1048"/>
      <c r="V288" s="1040"/>
      <c r="W288" s="1042"/>
      <c r="X288" s="1044"/>
    </row>
    <row r="289" spans="1:24" ht="20.25" customHeight="1" thickBot="1" x14ac:dyDescent="0.3">
      <c r="A289" s="48" t="s">
        <v>275</v>
      </c>
      <c r="B289" s="42" t="s">
        <v>280</v>
      </c>
      <c r="C289" s="125">
        <v>467.9</v>
      </c>
      <c r="D289" s="125">
        <v>486.39</v>
      </c>
      <c r="E289" s="117">
        <v>477.47</v>
      </c>
      <c r="F289" s="63">
        <f t="shared" ref="F289:F303" si="178">SUM(C289:E289)/3</f>
        <v>477.25333333333333</v>
      </c>
      <c r="G289" s="108">
        <f t="shared" ref="G289:G303" si="179">F289*92</f>
        <v>43907.306666666664</v>
      </c>
      <c r="H289" s="117">
        <v>448.23</v>
      </c>
      <c r="I289" s="117">
        <v>467</v>
      </c>
      <c r="J289" s="117">
        <v>414.39</v>
      </c>
      <c r="K289" s="63">
        <f t="shared" ref="K289:K303" si="180">SUM(H289:J289)/3</f>
        <v>443.20666666666665</v>
      </c>
      <c r="L289" s="108">
        <f t="shared" ref="L289:L303" si="181">K289*92</f>
        <v>40775.013333333329</v>
      </c>
      <c r="M289" s="117">
        <v>423.19</v>
      </c>
      <c r="N289" s="85">
        <v>432.79</v>
      </c>
      <c r="O289" s="85">
        <v>432.65</v>
      </c>
      <c r="P289" s="63">
        <f t="shared" ref="P289:P303" si="182">SUM(M289:O289)/3</f>
        <v>429.54333333333335</v>
      </c>
      <c r="Q289" s="108">
        <f>P289*90</f>
        <v>38658.9</v>
      </c>
      <c r="R289" s="117">
        <v>432.3</v>
      </c>
      <c r="S289" s="85">
        <v>427.16</v>
      </c>
      <c r="T289" s="135">
        <v>426.87</v>
      </c>
      <c r="U289" s="63">
        <f t="shared" ref="U289:U303" si="183">SUM(R289:T289)/3</f>
        <v>428.77666666666664</v>
      </c>
      <c r="V289" s="111">
        <f t="shared" ref="V289:V303" si="184">U289*91</f>
        <v>39018.676666666666</v>
      </c>
      <c r="W289" s="64">
        <f t="shared" ref="W289:W303" si="185">SUM(C289+D289+E289+H289+I289+J289+M289+N289+O289+R289+S289+T289)/12</f>
        <v>444.69499999999994</v>
      </c>
      <c r="X289" s="65">
        <f>W289*365</f>
        <v>162313.67499999999</v>
      </c>
    </row>
    <row r="290" spans="1:24" ht="16.5" thickBot="1" x14ac:dyDescent="0.3">
      <c r="A290" s="49" t="s">
        <v>127</v>
      </c>
      <c r="B290" s="43" t="s">
        <v>248</v>
      </c>
      <c r="C290" s="126">
        <v>126.48</v>
      </c>
      <c r="D290" s="126">
        <v>123.61</v>
      </c>
      <c r="E290" s="118">
        <v>112.5</v>
      </c>
      <c r="F290" s="63">
        <f t="shared" si="178"/>
        <v>120.86333333333334</v>
      </c>
      <c r="G290" s="108">
        <f t="shared" si="179"/>
        <v>11119.426666666668</v>
      </c>
      <c r="H290" s="118">
        <v>104.61</v>
      </c>
      <c r="I290" s="118">
        <v>113.93</v>
      </c>
      <c r="J290" s="118">
        <v>109.29</v>
      </c>
      <c r="K290" s="63">
        <f t="shared" si="180"/>
        <v>109.27666666666669</v>
      </c>
      <c r="L290" s="108">
        <f t="shared" si="181"/>
        <v>10053.453333333335</v>
      </c>
      <c r="M290" s="118">
        <v>96.225999999999999</v>
      </c>
      <c r="N290" s="86">
        <v>104.68</v>
      </c>
      <c r="O290" s="86">
        <v>110.06</v>
      </c>
      <c r="P290" s="63">
        <f t="shared" si="182"/>
        <v>103.65533333333333</v>
      </c>
      <c r="Q290" s="108">
        <f>P290*90</f>
        <v>9328.98</v>
      </c>
      <c r="R290" s="3">
        <v>107.67</v>
      </c>
      <c r="S290" s="87">
        <v>100.48</v>
      </c>
      <c r="T290" s="90">
        <v>109.4</v>
      </c>
      <c r="U290" s="63">
        <f t="shared" si="183"/>
        <v>105.85000000000001</v>
      </c>
      <c r="V290" s="111">
        <f t="shared" si="184"/>
        <v>9632.35</v>
      </c>
      <c r="W290" s="64">
        <f>SUM(C290+D290+E290+H290+I290+J290+M290+N290+O290+R290+S290+T290)/12</f>
        <v>109.91133333333335</v>
      </c>
      <c r="X290" s="65">
        <f>W290*365</f>
        <v>40117.636666666673</v>
      </c>
    </row>
    <row r="291" spans="1:24" ht="16.5" thickBot="1" x14ac:dyDescent="0.3">
      <c r="A291" s="50" t="s">
        <v>276</v>
      </c>
      <c r="B291" s="44" t="s">
        <v>281</v>
      </c>
      <c r="C291" s="4">
        <v>470.97</v>
      </c>
      <c r="D291" s="4">
        <v>481.03</v>
      </c>
      <c r="E291" s="3">
        <v>436.63</v>
      </c>
      <c r="F291" s="63">
        <f t="shared" si="178"/>
        <v>462.87666666666672</v>
      </c>
      <c r="G291" s="108">
        <f t="shared" si="179"/>
        <v>42584.653333333335</v>
      </c>
      <c r="H291" s="3">
        <v>435.42</v>
      </c>
      <c r="I291" s="3">
        <v>454.1</v>
      </c>
      <c r="J291" s="3">
        <v>425</v>
      </c>
      <c r="K291" s="63">
        <f t="shared" si="180"/>
        <v>438.17333333333335</v>
      </c>
      <c r="L291" s="108">
        <f t="shared" si="181"/>
        <v>40311.94666666667</v>
      </c>
      <c r="M291" s="3">
        <v>438.58</v>
      </c>
      <c r="N291" s="87">
        <v>426.93</v>
      </c>
      <c r="O291" s="87">
        <v>435</v>
      </c>
      <c r="P291" s="63">
        <f t="shared" si="182"/>
        <v>433.50333333333333</v>
      </c>
      <c r="Q291" s="108">
        <f t="shared" ref="Q291:Q302" si="186">P291*90</f>
        <v>39015.300000000003</v>
      </c>
      <c r="R291" s="118">
        <v>429.2</v>
      </c>
      <c r="S291" s="86">
        <v>410.42</v>
      </c>
      <c r="T291" s="89">
        <v>401.13</v>
      </c>
      <c r="U291" s="63">
        <f t="shared" si="183"/>
        <v>413.58333333333331</v>
      </c>
      <c r="V291" s="111">
        <f t="shared" si="184"/>
        <v>37636.083333333328</v>
      </c>
      <c r="W291" s="64">
        <f t="shared" si="185"/>
        <v>437.03416666666664</v>
      </c>
      <c r="X291" s="65">
        <f t="shared" ref="X291:X302" si="187">W291*365</f>
        <v>159517.47083333333</v>
      </c>
    </row>
    <row r="292" spans="1:24" ht="16.5" thickBot="1" x14ac:dyDescent="0.3">
      <c r="A292" s="50" t="s">
        <v>293</v>
      </c>
      <c r="B292" s="44" t="s">
        <v>282</v>
      </c>
      <c r="C292" s="4">
        <v>285.83999999999997</v>
      </c>
      <c r="D292" s="4">
        <v>289.52</v>
      </c>
      <c r="E292" s="3">
        <v>304.02999999999997</v>
      </c>
      <c r="F292" s="63">
        <f t="shared" si="178"/>
        <v>293.12999999999994</v>
      </c>
      <c r="G292" s="108">
        <f t="shared" si="179"/>
        <v>26967.959999999995</v>
      </c>
      <c r="H292" s="3">
        <v>286.68</v>
      </c>
      <c r="I292" s="3">
        <v>269.33</v>
      </c>
      <c r="J292" s="3">
        <v>227.06</v>
      </c>
      <c r="K292" s="63">
        <f t="shared" si="180"/>
        <v>261.02333333333331</v>
      </c>
      <c r="L292" s="108">
        <f t="shared" si="181"/>
        <v>24014.146666666664</v>
      </c>
      <c r="M292" s="3">
        <v>233.35</v>
      </c>
      <c r="N292" s="87">
        <v>234.71</v>
      </c>
      <c r="O292" s="87">
        <v>245.81</v>
      </c>
      <c r="P292" s="63">
        <f t="shared" si="182"/>
        <v>237.95666666666668</v>
      </c>
      <c r="Q292" s="108">
        <f t="shared" si="186"/>
        <v>21416.100000000002</v>
      </c>
      <c r="R292" s="3">
        <v>244.37</v>
      </c>
      <c r="S292" s="87">
        <v>242.58</v>
      </c>
      <c r="T292" s="90">
        <v>253.1</v>
      </c>
      <c r="U292" s="63">
        <f t="shared" si="183"/>
        <v>246.68333333333337</v>
      </c>
      <c r="V292" s="111">
        <f t="shared" si="184"/>
        <v>22448.183333333338</v>
      </c>
      <c r="W292" s="64">
        <f t="shared" si="185"/>
        <v>259.69833333333327</v>
      </c>
      <c r="X292" s="65">
        <f t="shared" si="187"/>
        <v>94789.891666666648</v>
      </c>
    </row>
    <row r="293" spans="1:24" ht="16.5" thickBot="1" x14ac:dyDescent="0.3">
      <c r="A293" s="51" t="s">
        <v>259</v>
      </c>
      <c r="B293" s="44" t="s">
        <v>283</v>
      </c>
      <c r="C293" s="4">
        <v>374.58</v>
      </c>
      <c r="D293" s="4">
        <v>369.9</v>
      </c>
      <c r="E293" s="3">
        <v>360.63</v>
      </c>
      <c r="F293" s="63">
        <f t="shared" si="178"/>
        <v>368.37000000000006</v>
      </c>
      <c r="G293" s="108">
        <f t="shared" si="179"/>
        <v>33890.040000000008</v>
      </c>
      <c r="H293" s="3">
        <v>353.16</v>
      </c>
      <c r="I293" s="3">
        <v>341.63</v>
      </c>
      <c r="J293" s="3">
        <v>331.35</v>
      </c>
      <c r="K293" s="63">
        <f t="shared" si="180"/>
        <v>342.04666666666662</v>
      </c>
      <c r="L293" s="108">
        <f t="shared" si="181"/>
        <v>31468.293333333328</v>
      </c>
      <c r="M293" s="3">
        <v>325.02999999999997</v>
      </c>
      <c r="N293" s="87">
        <v>349.21</v>
      </c>
      <c r="O293" s="87">
        <v>360.71</v>
      </c>
      <c r="P293" s="63">
        <f t="shared" si="182"/>
        <v>344.98333333333335</v>
      </c>
      <c r="Q293" s="108">
        <f t="shared" si="186"/>
        <v>31048.5</v>
      </c>
      <c r="R293" s="3">
        <v>359.17</v>
      </c>
      <c r="S293" s="87">
        <v>362.71</v>
      </c>
      <c r="T293" s="90">
        <v>361.27</v>
      </c>
      <c r="U293" s="63">
        <f t="shared" si="183"/>
        <v>361.05</v>
      </c>
      <c r="V293" s="111">
        <f t="shared" si="184"/>
        <v>32855.550000000003</v>
      </c>
      <c r="W293" s="64">
        <f t="shared" si="185"/>
        <v>354.11250000000001</v>
      </c>
      <c r="X293" s="65">
        <f t="shared" si="187"/>
        <v>129251.0625</v>
      </c>
    </row>
    <row r="294" spans="1:24" ht="16.5" thickBot="1" x14ac:dyDescent="0.3">
      <c r="A294" s="50" t="s">
        <v>15</v>
      </c>
      <c r="B294" s="44" t="s">
        <v>252</v>
      </c>
      <c r="C294" s="4">
        <v>51.581000000000003</v>
      </c>
      <c r="D294" s="4">
        <v>49.774000000000001</v>
      </c>
      <c r="E294" s="3">
        <v>50.1</v>
      </c>
      <c r="F294" s="63">
        <f t="shared" si="178"/>
        <v>50.485000000000007</v>
      </c>
      <c r="G294" s="108">
        <f t="shared" si="179"/>
        <v>4644.6200000000008</v>
      </c>
      <c r="H294" s="3">
        <v>53.871000000000002</v>
      </c>
      <c r="I294" s="3">
        <v>44.866999999999997</v>
      </c>
      <c r="J294" s="3">
        <v>45.194000000000003</v>
      </c>
      <c r="K294" s="63">
        <f t="shared" si="180"/>
        <v>47.977333333333341</v>
      </c>
      <c r="L294" s="108">
        <f t="shared" si="181"/>
        <v>4413.9146666666675</v>
      </c>
      <c r="M294" s="3">
        <v>45.71</v>
      </c>
      <c r="N294" s="87">
        <v>48.786000000000001</v>
      </c>
      <c r="O294" s="87">
        <v>48.031999999999996</v>
      </c>
      <c r="P294" s="63">
        <f t="shared" si="182"/>
        <v>47.509333333333338</v>
      </c>
      <c r="Q294" s="108">
        <f t="shared" si="186"/>
        <v>4275.84</v>
      </c>
      <c r="R294" s="3">
        <v>41.067</v>
      </c>
      <c r="S294" s="87">
        <v>37.258000000000003</v>
      </c>
      <c r="T294" s="90">
        <v>48.866999999999997</v>
      </c>
      <c r="U294" s="63">
        <f t="shared" si="183"/>
        <v>42.397333333333336</v>
      </c>
      <c r="V294" s="111">
        <f t="shared" si="184"/>
        <v>3858.1573333333336</v>
      </c>
      <c r="W294" s="64">
        <f t="shared" si="185"/>
        <v>47.09225</v>
      </c>
      <c r="X294" s="65">
        <f t="shared" si="187"/>
        <v>17188.671249999999</v>
      </c>
    </row>
    <row r="295" spans="1:24" ht="16.5" thickBot="1" x14ac:dyDescent="0.3">
      <c r="A295" s="50" t="s">
        <v>16</v>
      </c>
      <c r="B295" s="44" t="s">
        <v>284</v>
      </c>
      <c r="C295" s="4">
        <v>206.94</v>
      </c>
      <c r="D295" s="4">
        <v>203.1</v>
      </c>
      <c r="E295" s="3">
        <v>208.7</v>
      </c>
      <c r="F295" s="63">
        <f t="shared" si="178"/>
        <v>206.24666666666667</v>
      </c>
      <c r="G295" s="108">
        <f t="shared" si="179"/>
        <v>18974.693333333333</v>
      </c>
      <c r="H295" s="3">
        <v>201.42</v>
      </c>
      <c r="I295" s="3">
        <v>204.2</v>
      </c>
      <c r="J295" s="3">
        <v>198.1</v>
      </c>
      <c r="K295" s="63">
        <f t="shared" si="180"/>
        <v>201.24</v>
      </c>
      <c r="L295" s="108">
        <f t="shared" si="181"/>
        <v>18514.080000000002</v>
      </c>
      <c r="M295" s="3">
        <v>183.81</v>
      </c>
      <c r="N295" s="87">
        <v>195.82</v>
      </c>
      <c r="O295" s="87">
        <v>210.65</v>
      </c>
      <c r="P295" s="63">
        <f t="shared" si="182"/>
        <v>196.76</v>
      </c>
      <c r="Q295" s="108">
        <f t="shared" si="186"/>
        <v>17708.399999999998</v>
      </c>
      <c r="R295" s="3">
        <v>207.57</v>
      </c>
      <c r="S295" s="87">
        <v>192.16</v>
      </c>
      <c r="T295" s="90">
        <v>189.67</v>
      </c>
      <c r="U295" s="63">
        <f t="shared" si="183"/>
        <v>196.46666666666667</v>
      </c>
      <c r="V295" s="111">
        <f t="shared" si="184"/>
        <v>17878.466666666667</v>
      </c>
      <c r="W295" s="64">
        <f t="shared" si="185"/>
        <v>200.17833333333331</v>
      </c>
      <c r="X295" s="65">
        <f t="shared" si="187"/>
        <v>73065.09166666666</v>
      </c>
    </row>
    <row r="296" spans="1:24" ht="16.5" thickBot="1" x14ac:dyDescent="0.3">
      <c r="A296" s="50" t="s">
        <v>129</v>
      </c>
      <c r="B296" s="44" t="s">
        <v>285</v>
      </c>
      <c r="C296" s="4">
        <v>98.968000000000004</v>
      </c>
      <c r="D296" s="4">
        <v>112.03</v>
      </c>
      <c r="E296" s="3">
        <v>106.33</v>
      </c>
      <c r="F296" s="63">
        <f t="shared" si="178"/>
        <v>105.776</v>
      </c>
      <c r="G296" s="108">
        <f t="shared" si="179"/>
        <v>9731.3919999999998</v>
      </c>
      <c r="H296" s="3">
        <v>109.13</v>
      </c>
      <c r="I296" s="3">
        <v>106.3</v>
      </c>
      <c r="J296" s="3">
        <v>99.387</v>
      </c>
      <c r="K296" s="63">
        <f t="shared" si="180"/>
        <v>104.93900000000001</v>
      </c>
      <c r="L296" s="108">
        <f t="shared" si="181"/>
        <v>9654.3880000000008</v>
      </c>
      <c r="M296" s="3">
        <v>101.06</v>
      </c>
      <c r="N296" s="87">
        <v>98.856999999999999</v>
      </c>
      <c r="O296" s="87">
        <v>100.45</v>
      </c>
      <c r="P296" s="63">
        <f t="shared" si="182"/>
        <v>100.12233333333334</v>
      </c>
      <c r="Q296" s="108">
        <f t="shared" si="186"/>
        <v>9011.01</v>
      </c>
      <c r="R296" s="3">
        <v>97.73</v>
      </c>
      <c r="S296" s="87">
        <v>103.29</v>
      </c>
      <c r="T296" s="90">
        <v>106.33</v>
      </c>
      <c r="U296" s="63">
        <f t="shared" si="183"/>
        <v>102.45</v>
      </c>
      <c r="V296" s="111">
        <f t="shared" si="184"/>
        <v>9322.9500000000007</v>
      </c>
      <c r="W296" s="64">
        <f t="shared" si="185"/>
        <v>103.32183333333332</v>
      </c>
      <c r="X296" s="65">
        <f t="shared" si="187"/>
        <v>37712.469166666662</v>
      </c>
    </row>
    <row r="297" spans="1:24" ht="16.5" thickBot="1" x14ac:dyDescent="0.3">
      <c r="A297" s="51" t="s">
        <v>260</v>
      </c>
      <c r="B297" s="44" t="s">
        <v>292</v>
      </c>
      <c r="C297" s="4">
        <v>411.87</v>
      </c>
      <c r="D297" s="4">
        <v>425.16</v>
      </c>
      <c r="E297" s="3">
        <v>418.04</v>
      </c>
      <c r="F297" s="63">
        <f t="shared" si="178"/>
        <v>418.35666666666663</v>
      </c>
      <c r="G297" s="108">
        <f t="shared" si="179"/>
        <v>38488.813333333332</v>
      </c>
      <c r="H297" s="3">
        <v>427.9</v>
      </c>
      <c r="I297" s="3">
        <v>414.6</v>
      </c>
      <c r="J297" s="3">
        <v>441.81</v>
      </c>
      <c r="K297" s="63">
        <f t="shared" si="180"/>
        <v>428.1033333333333</v>
      </c>
      <c r="L297" s="108">
        <f t="shared" si="181"/>
        <v>39385.506666666661</v>
      </c>
      <c r="M297" s="3">
        <v>445.74</v>
      </c>
      <c r="N297" s="87">
        <v>486.14</v>
      </c>
      <c r="O297" s="87">
        <v>484.32</v>
      </c>
      <c r="P297" s="63">
        <f t="shared" si="182"/>
        <v>472.06666666666666</v>
      </c>
      <c r="Q297" s="108">
        <f t="shared" si="186"/>
        <v>42486</v>
      </c>
      <c r="R297" s="3">
        <v>462.17</v>
      </c>
      <c r="S297" s="87">
        <v>430.94</v>
      </c>
      <c r="T297" s="90">
        <v>468.4</v>
      </c>
      <c r="U297" s="63">
        <f t="shared" si="183"/>
        <v>453.83666666666664</v>
      </c>
      <c r="V297" s="111">
        <f t="shared" si="184"/>
        <v>41299.136666666665</v>
      </c>
      <c r="W297" s="64">
        <f t="shared" si="185"/>
        <v>443.09083333333325</v>
      </c>
      <c r="X297" s="65">
        <f t="shared" si="187"/>
        <v>161728.15416666665</v>
      </c>
    </row>
    <row r="298" spans="1:24" ht="16.5" thickBot="1" x14ac:dyDescent="0.3">
      <c r="A298" s="50" t="s">
        <v>138</v>
      </c>
      <c r="B298" s="121" t="s">
        <v>286</v>
      </c>
      <c r="C298" s="4">
        <v>112.32</v>
      </c>
      <c r="D298" s="4">
        <v>117.32</v>
      </c>
      <c r="E298" s="3">
        <v>121.87</v>
      </c>
      <c r="F298" s="63">
        <f t="shared" si="178"/>
        <v>117.17</v>
      </c>
      <c r="G298" s="108">
        <f t="shared" si="179"/>
        <v>10779.64</v>
      </c>
      <c r="H298" s="3">
        <v>113.52</v>
      </c>
      <c r="I298" s="3">
        <v>110.97</v>
      </c>
      <c r="J298" s="3">
        <v>123.68</v>
      </c>
      <c r="K298" s="63">
        <f t="shared" si="180"/>
        <v>116.05666666666667</v>
      </c>
      <c r="L298" s="108">
        <f t="shared" si="181"/>
        <v>10677.213333333333</v>
      </c>
      <c r="M298" s="3">
        <v>115.9</v>
      </c>
      <c r="N298" s="87">
        <v>124.39</v>
      </c>
      <c r="O298" s="87">
        <v>126.29</v>
      </c>
      <c r="P298" s="63">
        <f t="shared" si="182"/>
        <v>122.19333333333334</v>
      </c>
      <c r="Q298" s="108">
        <f t="shared" si="186"/>
        <v>10997.400000000001</v>
      </c>
      <c r="R298" s="3">
        <v>114.2</v>
      </c>
      <c r="S298" s="87">
        <v>119.03</v>
      </c>
      <c r="T298" s="90">
        <v>112.23</v>
      </c>
      <c r="U298" s="63">
        <f t="shared" si="183"/>
        <v>115.15333333333335</v>
      </c>
      <c r="V298" s="111">
        <f t="shared" si="184"/>
        <v>10478.953333333335</v>
      </c>
      <c r="W298" s="64">
        <f t="shared" si="185"/>
        <v>117.64333333333333</v>
      </c>
      <c r="X298" s="65">
        <f t="shared" si="187"/>
        <v>42939.816666666666</v>
      </c>
    </row>
    <row r="299" spans="1:24" ht="16.5" thickBot="1" x14ac:dyDescent="0.3">
      <c r="A299" s="49" t="s">
        <v>19</v>
      </c>
      <c r="B299" s="43" t="s">
        <v>287</v>
      </c>
      <c r="C299" s="126">
        <v>538.13</v>
      </c>
      <c r="D299" s="126">
        <v>490.65</v>
      </c>
      <c r="E299" s="118">
        <v>508.17</v>
      </c>
      <c r="F299" s="63">
        <f t="shared" si="178"/>
        <v>512.31666666666672</v>
      </c>
      <c r="G299" s="108">
        <f t="shared" si="179"/>
        <v>47133.133333333339</v>
      </c>
      <c r="H299" s="118">
        <v>541.19000000000005</v>
      </c>
      <c r="I299" s="3">
        <v>523.13</v>
      </c>
      <c r="J299" s="118">
        <v>554.32000000000005</v>
      </c>
      <c r="K299" s="63">
        <f t="shared" si="180"/>
        <v>539.54666666666674</v>
      </c>
      <c r="L299" s="111">
        <f t="shared" si="181"/>
        <v>49638.293333333342</v>
      </c>
      <c r="M299" s="3">
        <v>547.19000000000005</v>
      </c>
      <c r="N299" s="86">
        <v>537.17999999999995</v>
      </c>
      <c r="O299" s="86">
        <v>549.80999999999995</v>
      </c>
      <c r="P299" s="63">
        <f t="shared" si="182"/>
        <v>544.72666666666657</v>
      </c>
      <c r="Q299" s="108">
        <f t="shared" si="186"/>
        <v>49025.399999999994</v>
      </c>
      <c r="R299" s="3">
        <v>555.20000000000005</v>
      </c>
      <c r="S299" s="86">
        <v>534.58000000000004</v>
      </c>
      <c r="T299" s="89">
        <v>541.4</v>
      </c>
      <c r="U299" s="63">
        <f t="shared" si="183"/>
        <v>543.7266666666668</v>
      </c>
      <c r="V299" s="111">
        <f t="shared" si="184"/>
        <v>49479.126666666678</v>
      </c>
      <c r="W299" s="64">
        <f t="shared" si="185"/>
        <v>535.07916666666665</v>
      </c>
      <c r="X299" s="65">
        <f t="shared" si="187"/>
        <v>195303.89583333331</v>
      </c>
    </row>
    <row r="300" spans="1:24" ht="16.5" thickBot="1" x14ac:dyDescent="0.3">
      <c r="A300" s="51" t="s">
        <v>261</v>
      </c>
      <c r="B300" s="44" t="s">
        <v>288</v>
      </c>
      <c r="C300" s="4">
        <v>362.71</v>
      </c>
      <c r="D300" s="4">
        <v>345.96</v>
      </c>
      <c r="E300" s="3">
        <v>361.83</v>
      </c>
      <c r="F300" s="63">
        <f t="shared" si="178"/>
        <v>356.83333333333331</v>
      </c>
      <c r="G300" s="108">
        <f t="shared" si="179"/>
        <v>32828.666666666664</v>
      </c>
      <c r="H300" s="3">
        <v>360.49</v>
      </c>
      <c r="I300" s="3">
        <v>361.97</v>
      </c>
      <c r="J300" s="3">
        <v>361.13</v>
      </c>
      <c r="K300" s="63">
        <f t="shared" si="180"/>
        <v>361.19666666666672</v>
      </c>
      <c r="L300" s="108">
        <f t="shared" si="181"/>
        <v>33230.093333333338</v>
      </c>
      <c r="M300" s="3">
        <v>380.74</v>
      </c>
      <c r="N300" s="87">
        <v>379</v>
      </c>
      <c r="O300" s="87">
        <v>378.78</v>
      </c>
      <c r="P300" s="63">
        <f t="shared" si="182"/>
        <v>379.50666666666666</v>
      </c>
      <c r="Q300" s="108">
        <f t="shared" si="186"/>
        <v>34155.599999999999</v>
      </c>
      <c r="R300" s="3">
        <v>364.23</v>
      </c>
      <c r="S300" s="87">
        <v>356.35</v>
      </c>
      <c r="T300" s="90">
        <v>353.94</v>
      </c>
      <c r="U300" s="63">
        <f t="shared" si="183"/>
        <v>358.17333333333335</v>
      </c>
      <c r="V300" s="111">
        <f t="shared" si="184"/>
        <v>32593.773333333334</v>
      </c>
      <c r="W300" s="64">
        <f t="shared" si="185"/>
        <v>363.92749999999995</v>
      </c>
      <c r="X300" s="65">
        <f t="shared" si="187"/>
        <v>132833.53749999998</v>
      </c>
    </row>
    <row r="301" spans="1:24" ht="16.5" thickBot="1" x14ac:dyDescent="0.3">
      <c r="A301" s="50" t="s">
        <v>130</v>
      </c>
      <c r="B301" s="44" t="s">
        <v>289</v>
      </c>
      <c r="C301" s="4">
        <v>117.23</v>
      </c>
      <c r="D301" s="4">
        <v>120.97</v>
      </c>
      <c r="E301" s="3">
        <v>116.07</v>
      </c>
      <c r="F301" s="63">
        <f t="shared" si="178"/>
        <v>118.08999999999999</v>
      </c>
      <c r="G301" s="108">
        <f t="shared" si="179"/>
        <v>10864.279999999999</v>
      </c>
      <c r="H301" s="3">
        <v>116.16</v>
      </c>
      <c r="I301" s="3">
        <v>116.07</v>
      </c>
      <c r="J301" s="3">
        <v>113.26</v>
      </c>
      <c r="K301" s="63">
        <f t="shared" si="180"/>
        <v>115.16333333333334</v>
      </c>
      <c r="L301" s="108">
        <f t="shared" si="181"/>
        <v>10595.026666666667</v>
      </c>
      <c r="M301" s="3">
        <v>121.55</v>
      </c>
      <c r="N301" s="87">
        <v>128.75</v>
      </c>
      <c r="O301" s="87">
        <v>119.65</v>
      </c>
      <c r="P301" s="63">
        <f t="shared" si="182"/>
        <v>123.31666666666668</v>
      </c>
      <c r="Q301" s="108">
        <f t="shared" si="186"/>
        <v>11098.500000000002</v>
      </c>
      <c r="R301" s="3">
        <v>117.03</v>
      </c>
      <c r="S301" s="87">
        <v>118.68</v>
      </c>
      <c r="T301" s="90">
        <v>116.97</v>
      </c>
      <c r="U301" s="63">
        <f t="shared" si="183"/>
        <v>117.56</v>
      </c>
      <c r="V301" s="111">
        <f t="shared" si="184"/>
        <v>10697.960000000001</v>
      </c>
      <c r="W301" s="64">
        <f t="shared" si="185"/>
        <v>118.53250000000001</v>
      </c>
      <c r="X301" s="65">
        <f t="shared" si="187"/>
        <v>43264.362500000003</v>
      </c>
    </row>
    <row r="302" spans="1:24" ht="16.5" thickBot="1" x14ac:dyDescent="0.3">
      <c r="A302" s="50" t="s">
        <v>131</v>
      </c>
      <c r="B302" s="34"/>
      <c r="C302" s="4">
        <v>0</v>
      </c>
      <c r="D302" s="4">
        <v>0</v>
      </c>
      <c r="E302" s="18"/>
      <c r="F302" s="67">
        <f t="shared" si="178"/>
        <v>0</v>
      </c>
      <c r="G302" s="108">
        <f t="shared" si="179"/>
        <v>0</v>
      </c>
      <c r="H302" s="18"/>
      <c r="I302" s="18"/>
      <c r="J302" s="18"/>
      <c r="K302" s="67">
        <f t="shared" si="180"/>
        <v>0</v>
      </c>
      <c r="L302" s="108">
        <f t="shared" si="181"/>
        <v>0</v>
      </c>
      <c r="M302" s="18"/>
      <c r="N302" s="4"/>
      <c r="O302" s="87"/>
      <c r="P302" s="67">
        <f t="shared" si="182"/>
        <v>0</v>
      </c>
      <c r="Q302" s="108">
        <f t="shared" si="186"/>
        <v>0</v>
      </c>
      <c r="R302" s="3"/>
      <c r="S302" s="3"/>
      <c r="T302" s="4"/>
      <c r="U302" s="67">
        <f t="shared" si="183"/>
        <v>0</v>
      </c>
      <c r="V302" s="112">
        <f t="shared" si="184"/>
        <v>0</v>
      </c>
      <c r="W302" s="137">
        <f t="shared" si="185"/>
        <v>0</v>
      </c>
      <c r="X302" s="65">
        <f t="shared" si="187"/>
        <v>0</v>
      </c>
    </row>
    <row r="303" spans="1:24" ht="16.5" thickBot="1" x14ac:dyDescent="0.3">
      <c r="A303" s="46" t="s">
        <v>139</v>
      </c>
      <c r="B303" s="35"/>
      <c r="C303" s="80">
        <f>SUM(C289:C302)</f>
        <v>3625.5189999999998</v>
      </c>
      <c r="D303" s="80">
        <f>SUM(D289:D302)</f>
        <v>3615.4139999999998</v>
      </c>
      <c r="E303" s="80">
        <f>SUM(E289:E302)</f>
        <v>3582.37</v>
      </c>
      <c r="F303" s="68">
        <f t="shared" si="178"/>
        <v>3607.7676666666666</v>
      </c>
      <c r="G303" s="108">
        <f t="shared" si="179"/>
        <v>331914.62533333333</v>
      </c>
      <c r="H303" s="94">
        <f>SUM(H289:H302)</f>
        <v>3551.7809999999999</v>
      </c>
      <c r="I303" s="80">
        <f>SUM(I289:I302)</f>
        <v>3528.0970000000002</v>
      </c>
      <c r="J303" s="80">
        <f>SUM(J289:J302)</f>
        <v>3443.9710000000005</v>
      </c>
      <c r="K303" s="68">
        <f t="shared" si="180"/>
        <v>3507.9496666666673</v>
      </c>
      <c r="L303" s="119">
        <f t="shared" si="181"/>
        <v>322731.36933333339</v>
      </c>
      <c r="M303" s="9">
        <f>SUM(M289:M302)</f>
        <v>3458.076</v>
      </c>
      <c r="N303" s="80">
        <f>SUM(N289:N302)</f>
        <v>3547.2429999999999</v>
      </c>
      <c r="O303" s="80">
        <f>SUM(O289:O302)</f>
        <v>3602.212</v>
      </c>
      <c r="P303" s="68">
        <f t="shared" si="182"/>
        <v>3535.8436666666662</v>
      </c>
      <c r="Q303" s="119">
        <f>P303*90</f>
        <v>318225.92999999993</v>
      </c>
      <c r="R303" s="94">
        <f>SUM(R289:R302)</f>
        <v>3531.9070000000002</v>
      </c>
      <c r="S303" s="80">
        <f>SUM(S289:S302)</f>
        <v>3435.6379999999999</v>
      </c>
      <c r="T303" s="81">
        <f>SUM(T289:T302)</f>
        <v>3489.5769999999998</v>
      </c>
      <c r="U303" s="68">
        <f t="shared" si="183"/>
        <v>3485.7073333333333</v>
      </c>
      <c r="V303" s="120">
        <f t="shared" si="184"/>
        <v>317199.36733333336</v>
      </c>
      <c r="W303" s="138">
        <f t="shared" si="185"/>
        <v>3534.3170833333334</v>
      </c>
      <c r="X303" s="69">
        <f>SUM(X289:X302)</f>
        <v>1290025.7354166664</v>
      </c>
    </row>
    <row r="304" spans="1:24" ht="16.5" thickBot="1" x14ac:dyDescent="0.3">
      <c r="A304" s="46" t="s">
        <v>140</v>
      </c>
      <c r="B304" s="35"/>
      <c r="C304" s="70"/>
      <c r="D304" s="70"/>
      <c r="E304" s="71"/>
      <c r="F304" s="98"/>
      <c r="G304" s="98"/>
      <c r="H304" s="72"/>
      <c r="I304" s="70" t="s">
        <v>236</v>
      </c>
      <c r="J304" s="71"/>
      <c r="K304" s="97"/>
      <c r="L304" s="97"/>
      <c r="M304" s="72"/>
      <c r="N304" s="70"/>
      <c r="O304" s="71"/>
      <c r="P304" s="97"/>
      <c r="Q304" s="97"/>
      <c r="R304" s="72"/>
      <c r="S304" s="70"/>
      <c r="T304" s="71"/>
      <c r="U304" s="71"/>
      <c r="V304" s="70"/>
      <c r="W304" s="96"/>
      <c r="X304" s="69" t="s">
        <v>0</v>
      </c>
    </row>
    <row r="305" spans="1:24" ht="16.5" hidden="1" customHeight="1" thickBot="1" x14ac:dyDescent="0.3">
      <c r="A305" s="49" t="s">
        <v>132</v>
      </c>
      <c r="B305" s="33"/>
      <c r="C305" s="6">
        <v>633</v>
      </c>
      <c r="D305" s="6">
        <v>646</v>
      </c>
      <c r="E305" s="6">
        <v>654</v>
      </c>
      <c r="F305" s="63">
        <f t="shared" ref="F305:F311" si="188">SUM(C305:E305)/3</f>
        <v>644.33333333333337</v>
      </c>
      <c r="G305" s="108">
        <f t="shared" ref="G305:G311" si="189">F305*92</f>
        <v>59278.666666666672</v>
      </c>
      <c r="H305" s="6">
        <v>652</v>
      </c>
      <c r="I305" s="6">
        <v>653</v>
      </c>
      <c r="J305" s="6">
        <v>649</v>
      </c>
      <c r="K305" s="63">
        <f t="shared" ref="K305:K312" si="190">SUM(H305:J305)/3</f>
        <v>651.33333333333337</v>
      </c>
      <c r="L305" s="108">
        <f t="shared" ref="L305:L311" si="191">K305*92</f>
        <v>59922.666666666672</v>
      </c>
      <c r="M305" s="6">
        <v>704</v>
      </c>
      <c r="N305" s="73">
        <v>702</v>
      </c>
      <c r="O305" s="73">
        <v>712</v>
      </c>
      <c r="P305" s="63">
        <f t="shared" ref="P305:P312" si="192">SUM(M305:O305)/3</f>
        <v>706</v>
      </c>
      <c r="Q305" s="108">
        <f t="shared" ref="Q305:Q311" si="193">P305*90</f>
        <v>63540</v>
      </c>
      <c r="R305" s="6">
        <v>697</v>
      </c>
      <c r="S305" s="73">
        <v>687</v>
      </c>
      <c r="T305" s="74">
        <v>689</v>
      </c>
      <c r="U305" s="63">
        <f t="shared" ref="U305:U312" si="194">SUM(R305:T305)/3</f>
        <v>691</v>
      </c>
      <c r="V305" s="111">
        <f t="shared" ref="V305:V311" si="195">U305*91</f>
        <v>62881</v>
      </c>
      <c r="W305" s="64">
        <f t="shared" ref="W305:W310" si="196">SUM(C305+D305+E305+H305+I305+J305+M305+N305+O305+R305+S305+T305)/12</f>
        <v>673.16666666666663</v>
      </c>
      <c r="X305" s="65">
        <f t="shared" ref="X305:X310" si="197">W305*365</f>
        <v>245705.83333333331</v>
      </c>
    </row>
    <row r="306" spans="1:24" ht="16.5" hidden="1" thickBot="1" x14ac:dyDescent="0.3">
      <c r="A306" s="50" t="s">
        <v>133</v>
      </c>
      <c r="B306" s="34"/>
      <c r="C306" s="5">
        <v>6</v>
      </c>
      <c r="D306" s="5">
        <v>5</v>
      </c>
      <c r="E306" s="5">
        <v>4</v>
      </c>
      <c r="F306" s="63">
        <f t="shared" si="188"/>
        <v>5</v>
      </c>
      <c r="G306" s="108">
        <f t="shared" si="189"/>
        <v>460</v>
      </c>
      <c r="H306" s="5">
        <v>3</v>
      </c>
      <c r="I306" s="5">
        <v>2</v>
      </c>
      <c r="J306" s="5">
        <v>2</v>
      </c>
      <c r="K306" s="63">
        <f t="shared" si="190"/>
        <v>2.3333333333333335</v>
      </c>
      <c r="L306" s="108">
        <f t="shared" si="191"/>
        <v>214.66666666666669</v>
      </c>
      <c r="M306" s="5">
        <v>4</v>
      </c>
      <c r="N306" s="75">
        <v>4</v>
      </c>
      <c r="O306" s="75">
        <v>6</v>
      </c>
      <c r="P306" s="63">
        <f t="shared" si="192"/>
        <v>4.666666666666667</v>
      </c>
      <c r="Q306" s="108">
        <f t="shared" si="193"/>
        <v>420</v>
      </c>
      <c r="R306" s="5">
        <v>7</v>
      </c>
      <c r="S306" s="75">
        <v>10</v>
      </c>
      <c r="T306" s="76">
        <v>10</v>
      </c>
      <c r="U306" s="63">
        <f t="shared" si="194"/>
        <v>9</v>
      </c>
      <c r="V306" s="111">
        <f t="shared" si="195"/>
        <v>819</v>
      </c>
      <c r="W306" s="64">
        <f t="shared" si="196"/>
        <v>5.25</v>
      </c>
      <c r="X306" s="66">
        <f t="shared" si="197"/>
        <v>1916.25</v>
      </c>
    </row>
    <row r="307" spans="1:24" ht="16.5" hidden="1" thickBot="1" x14ac:dyDescent="0.3">
      <c r="A307" s="50" t="s">
        <v>135</v>
      </c>
      <c r="B307" s="34"/>
      <c r="C307" s="5">
        <v>34</v>
      </c>
      <c r="D307" s="5">
        <v>42</v>
      </c>
      <c r="E307" s="5">
        <v>37</v>
      </c>
      <c r="F307" s="63">
        <f t="shared" si="188"/>
        <v>37.666666666666664</v>
      </c>
      <c r="G307" s="108">
        <f t="shared" si="189"/>
        <v>3465.333333333333</v>
      </c>
      <c r="H307" s="5">
        <v>33</v>
      </c>
      <c r="I307" s="5">
        <v>33</v>
      </c>
      <c r="J307" s="5">
        <v>32</v>
      </c>
      <c r="K307" s="63">
        <f t="shared" si="190"/>
        <v>32.666666666666664</v>
      </c>
      <c r="L307" s="108">
        <f t="shared" si="191"/>
        <v>3005.333333333333</v>
      </c>
      <c r="M307" s="5">
        <v>33</v>
      </c>
      <c r="N307" s="75">
        <v>29</v>
      </c>
      <c r="O307" s="75">
        <v>29</v>
      </c>
      <c r="P307" s="63">
        <f t="shared" si="192"/>
        <v>30.333333333333332</v>
      </c>
      <c r="Q307" s="108">
        <f t="shared" si="193"/>
        <v>2730</v>
      </c>
      <c r="R307" s="5">
        <v>27</v>
      </c>
      <c r="S307" s="75">
        <v>28</v>
      </c>
      <c r="T307" s="76">
        <v>28</v>
      </c>
      <c r="U307" s="63">
        <f t="shared" si="194"/>
        <v>27.666666666666668</v>
      </c>
      <c r="V307" s="111">
        <f t="shared" si="195"/>
        <v>2517.666666666667</v>
      </c>
      <c r="W307" s="64">
        <f t="shared" si="196"/>
        <v>32.083333333333336</v>
      </c>
      <c r="X307" s="65">
        <f t="shared" si="197"/>
        <v>11710.416666666668</v>
      </c>
    </row>
    <row r="308" spans="1:24" ht="16.5" hidden="1" thickBot="1" x14ac:dyDescent="0.3">
      <c r="A308" s="50" t="s">
        <v>134</v>
      </c>
      <c r="B308" s="34"/>
      <c r="C308" s="5">
        <v>149</v>
      </c>
      <c r="D308" s="5">
        <v>152</v>
      </c>
      <c r="E308" s="5">
        <v>163</v>
      </c>
      <c r="F308" s="63">
        <f t="shared" si="188"/>
        <v>154.66666666666666</v>
      </c>
      <c r="G308" s="108">
        <f t="shared" si="189"/>
        <v>14229.333333333332</v>
      </c>
      <c r="H308" s="5">
        <v>181</v>
      </c>
      <c r="I308" s="5">
        <v>174</v>
      </c>
      <c r="J308" s="5">
        <v>173</v>
      </c>
      <c r="K308" s="63">
        <f t="shared" si="190"/>
        <v>176</v>
      </c>
      <c r="L308" s="108">
        <f t="shared" si="191"/>
        <v>16192</v>
      </c>
      <c r="M308" s="5">
        <v>192</v>
      </c>
      <c r="N308" s="75">
        <v>207</v>
      </c>
      <c r="O308" s="75">
        <v>226</v>
      </c>
      <c r="P308" s="63">
        <f t="shared" si="192"/>
        <v>208.33333333333334</v>
      </c>
      <c r="Q308" s="108">
        <f t="shared" si="193"/>
        <v>18750</v>
      </c>
      <c r="R308" s="5">
        <v>219</v>
      </c>
      <c r="S308" s="75">
        <v>215</v>
      </c>
      <c r="T308" s="76">
        <v>220</v>
      </c>
      <c r="U308" s="63">
        <f t="shared" si="194"/>
        <v>218</v>
      </c>
      <c r="V308" s="111">
        <f t="shared" si="195"/>
        <v>19838</v>
      </c>
      <c r="W308" s="64">
        <f t="shared" si="196"/>
        <v>189.25</v>
      </c>
      <c r="X308" s="66">
        <f t="shared" si="197"/>
        <v>69076.25</v>
      </c>
    </row>
    <row r="309" spans="1:24" ht="16.5" hidden="1" thickBot="1" x14ac:dyDescent="0.3">
      <c r="A309" s="50" t="s">
        <v>136</v>
      </c>
      <c r="B309" s="34"/>
      <c r="C309" s="5">
        <v>836</v>
      </c>
      <c r="D309" s="5">
        <v>846</v>
      </c>
      <c r="E309" s="5">
        <v>886</v>
      </c>
      <c r="F309" s="63">
        <f t="shared" si="188"/>
        <v>856</v>
      </c>
      <c r="G309" s="108">
        <f t="shared" si="189"/>
        <v>78752</v>
      </c>
      <c r="H309" s="5">
        <v>883</v>
      </c>
      <c r="I309" s="5">
        <v>876</v>
      </c>
      <c r="J309" s="5">
        <v>879</v>
      </c>
      <c r="K309" s="63">
        <f t="shared" si="190"/>
        <v>879.33333333333337</v>
      </c>
      <c r="L309" s="108">
        <f t="shared" si="191"/>
        <v>80898.666666666672</v>
      </c>
      <c r="M309" s="5">
        <v>878</v>
      </c>
      <c r="N309" s="75">
        <v>877</v>
      </c>
      <c r="O309" s="75">
        <v>873</v>
      </c>
      <c r="P309" s="63">
        <f t="shared" si="192"/>
        <v>876</v>
      </c>
      <c r="Q309" s="108">
        <f t="shared" si="193"/>
        <v>78840</v>
      </c>
      <c r="R309" s="5">
        <v>868</v>
      </c>
      <c r="S309" s="75">
        <v>868</v>
      </c>
      <c r="T309" s="76">
        <v>855</v>
      </c>
      <c r="U309" s="63">
        <f t="shared" si="194"/>
        <v>863.66666666666663</v>
      </c>
      <c r="V309" s="111">
        <f t="shared" si="195"/>
        <v>78593.666666666657</v>
      </c>
      <c r="W309" s="64">
        <f t="shared" si="196"/>
        <v>868.75</v>
      </c>
      <c r="X309" s="65">
        <f t="shared" si="197"/>
        <v>317093.75</v>
      </c>
    </row>
    <row r="310" spans="1:24" ht="16.5" hidden="1" thickBot="1" x14ac:dyDescent="0.3">
      <c r="A310" s="50" t="s">
        <v>137</v>
      </c>
      <c r="B310" s="34"/>
      <c r="C310" s="5">
        <v>17</v>
      </c>
      <c r="D310" s="5">
        <v>17</v>
      </c>
      <c r="E310" s="5">
        <v>16</v>
      </c>
      <c r="F310" s="63">
        <f t="shared" si="188"/>
        <v>16.666666666666668</v>
      </c>
      <c r="G310" s="108">
        <f t="shared" si="189"/>
        <v>1533.3333333333335</v>
      </c>
      <c r="H310" s="5">
        <v>16</v>
      </c>
      <c r="I310" s="5">
        <v>16</v>
      </c>
      <c r="J310" s="5">
        <v>17</v>
      </c>
      <c r="K310" s="63">
        <f t="shared" si="190"/>
        <v>16.333333333333332</v>
      </c>
      <c r="L310" s="108">
        <f t="shared" si="191"/>
        <v>1502.6666666666665</v>
      </c>
      <c r="M310" s="5">
        <v>17</v>
      </c>
      <c r="N310" s="75">
        <v>17</v>
      </c>
      <c r="O310" s="75">
        <v>17</v>
      </c>
      <c r="P310" s="63">
        <f t="shared" si="192"/>
        <v>17</v>
      </c>
      <c r="Q310" s="108">
        <f t="shared" si="193"/>
        <v>1530</v>
      </c>
      <c r="R310" s="5">
        <v>17</v>
      </c>
      <c r="S310" s="75">
        <v>17</v>
      </c>
      <c r="T310" s="76">
        <v>17</v>
      </c>
      <c r="U310" s="63">
        <f t="shared" si="194"/>
        <v>17</v>
      </c>
      <c r="V310" s="112">
        <f t="shared" si="195"/>
        <v>1547</v>
      </c>
      <c r="W310" s="64">
        <f t="shared" si="196"/>
        <v>16.75</v>
      </c>
      <c r="X310" s="66">
        <f t="shared" si="197"/>
        <v>6113.75</v>
      </c>
    </row>
    <row r="311" spans="1:24" ht="16.5" hidden="1" thickBot="1" x14ac:dyDescent="0.3">
      <c r="A311" s="53" t="s">
        <v>141</v>
      </c>
      <c r="B311" s="37"/>
      <c r="C311" s="80">
        <f>SUM(C305:C310)</f>
        <v>1675</v>
      </c>
      <c r="D311" s="80">
        <f>SUM(D305:D310)</f>
        <v>1708</v>
      </c>
      <c r="E311" s="80">
        <f>SUM(E305:E310)</f>
        <v>1760</v>
      </c>
      <c r="F311" s="68">
        <f t="shared" si="188"/>
        <v>1714.3333333333333</v>
      </c>
      <c r="G311" s="108">
        <f t="shared" si="189"/>
        <v>157718.66666666666</v>
      </c>
      <c r="H311" s="94">
        <f>SUM(H305:H310)</f>
        <v>1768</v>
      </c>
      <c r="I311" s="80">
        <f>SUM(I305:I310)</f>
        <v>1754</v>
      </c>
      <c r="J311" s="80">
        <f>SUM(J305:J310)</f>
        <v>1752</v>
      </c>
      <c r="K311" s="68">
        <f t="shared" si="190"/>
        <v>1758</v>
      </c>
      <c r="L311" s="119">
        <f t="shared" si="191"/>
        <v>161736</v>
      </c>
      <c r="M311" s="94">
        <f>SUM(M305:M310)</f>
        <v>1828</v>
      </c>
      <c r="N311" s="80">
        <f>SUM(N305:N310)</f>
        <v>1836</v>
      </c>
      <c r="O311" s="80">
        <f>SUM(O305:O310)</f>
        <v>1863</v>
      </c>
      <c r="P311" s="68">
        <f t="shared" si="192"/>
        <v>1842.3333333333333</v>
      </c>
      <c r="Q311" s="108">
        <f t="shared" si="193"/>
        <v>165810</v>
      </c>
      <c r="R311" s="94">
        <f>SUM(R305:R310)</f>
        <v>1835</v>
      </c>
      <c r="S311" s="80">
        <f>SUM(S305:S310)</f>
        <v>1825</v>
      </c>
      <c r="T311" s="81">
        <f>SUM(T305:T310)</f>
        <v>1819</v>
      </c>
      <c r="U311" s="68">
        <f t="shared" si="194"/>
        <v>1826.3333333333333</v>
      </c>
      <c r="V311" s="120">
        <f t="shared" si="195"/>
        <v>166196.33333333331</v>
      </c>
      <c r="W311" s="69">
        <f>SUM(W305:W310)</f>
        <v>1785.25</v>
      </c>
      <c r="X311" s="69">
        <f>SUM(X305:X310)</f>
        <v>651616.25</v>
      </c>
    </row>
    <row r="312" spans="1:24" ht="16.5" hidden="1" thickBot="1" x14ac:dyDescent="0.3">
      <c r="A312" s="54" t="s">
        <v>145</v>
      </c>
      <c r="B312" s="38"/>
      <c r="C312" s="80">
        <f>C303+C311</f>
        <v>5300.5190000000002</v>
      </c>
      <c r="D312" s="80">
        <f>D303+D311</f>
        <v>5323.4139999999998</v>
      </c>
      <c r="E312" s="80">
        <f>E303+E311</f>
        <v>5342.37</v>
      </c>
      <c r="F312" s="80">
        <f>F303+F311</f>
        <v>5322.1009999999997</v>
      </c>
      <c r="G312" s="68">
        <f>SUM(G303+G311)</f>
        <v>489633.29200000002</v>
      </c>
      <c r="H312" s="80">
        <f>H303+H311</f>
        <v>5319.7809999999999</v>
      </c>
      <c r="I312" s="80">
        <f>I303+I311</f>
        <v>5282.0969999999998</v>
      </c>
      <c r="J312" s="80">
        <f>J303+J311</f>
        <v>5195.9710000000005</v>
      </c>
      <c r="K312" s="120">
        <f t="shared" si="190"/>
        <v>5265.9496666666673</v>
      </c>
      <c r="L312" s="68">
        <f>SUM(L303+L311)</f>
        <v>484467.36933333339</v>
      </c>
      <c r="M312" s="94">
        <f>M303+M311</f>
        <v>5286.076</v>
      </c>
      <c r="N312" s="80">
        <f>N303+N311</f>
        <v>5383.2430000000004</v>
      </c>
      <c r="O312" s="80">
        <f>O303+O311</f>
        <v>5465.2119999999995</v>
      </c>
      <c r="P312" s="99">
        <f t="shared" si="192"/>
        <v>5378.1769999999997</v>
      </c>
      <c r="Q312" s="68">
        <f>SUM(Q303+Q311)</f>
        <v>484035.92999999993</v>
      </c>
      <c r="R312" s="94">
        <f>R303+R311</f>
        <v>5366.9070000000002</v>
      </c>
      <c r="S312" s="80">
        <f>S303+S311</f>
        <v>5260.6379999999999</v>
      </c>
      <c r="T312" s="81">
        <f>T303+T311</f>
        <v>5308.5769999999993</v>
      </c>
      <c r="U312" s="99">
        <f t="shared" si="194"/>
        <v>5312.0406666666668</v>
      </c>
      <c r="V312" s="68">
        <f>SUM(V303+V311)</f>
        <v>483395.70066666667</v>
      </c>
      <c r="W312" s="80">
        <f>W303+W311</f>
        <v>5319.5670833333334</v>
      </c>
      <c r="X312" s="82">
        <f>X303+X311</f>
        <v>1941641.9854166664</v>
      </c>
    </row>
    <row r="313" spans="1:24" ht="15.75" hidden="1" x14ac:dyDescent="0.25">
      <c r="A313" s="114"/>
      <c r="B313" s="19"/>
      <c r="C313" s="115"/>
      <c r="D313" s="115"/>
      <c r="E313" s="115"/>
      <c r="F313" s="115"/>
      <c r="G313" s="113"/>
      <c r="H313" s="115"/>
      <c r="I313" s="115"/>
      <c r="J313" s="115"/>
      <c r="K313" s="139"/>
      <c r="L313" s="113"/>
      <c r="M313" s="115"/>
      <c r="N313" s="115"/>
      <c r="O313" s="115"/>
      <c r="P313" s="93"/>
      <c r="Q313" s="113"/>
      <c r="R313" s="115"/>
      <c r="S313" s="115"/>
      <c r="T313" s="115"/>
      <c r="U313" s="93"/>
      <c r="V313" s="113"/>
      <c r="W313" s="115"/>
      <c r="X313" s="115"/>
    </row>
    <row r="314" spans="1:24" hidden="1" x14ac:dyDescent="0.2"/>
    <row r="315" spans="1:24" ht="16.5" hidden="1" thickBot="1" x14ac:dyDescent="0.25">
      <c r="A315" s="45" t="s">
        <v>144</v>
      </c>
      <c r="B315" s="10"/>
      <c r="C315" s="13"/>
      <c r="D315" s="13"/>
      <c r="E315" s="13"/>
      <c r="F315" s="13"/>
      <c r="G315" s="13"/>
      <c r="H315" s="13"/>
      <c r="I315" s="13"/>
      <c r="J315" s="13"/>
      <c r="K315" s="13"/>
      <c r="L315" s="13"/>
      <c r="M315" s="13"/>
      <c r="N315" s="13"/>
      <c r="O315" s="13"/>
      <c r="P315" s="13"/>
      <c r="Q315" s="13"/>
      <c r="R315" s="13"/>
      <c r="S315" s="13"/>
      <c r="T315" s="13"/>
      <c r="U315" s="13"/>
      <c r="V315" s="13"/>
      <c r="W315" s="13"/>
      <c r="X315" s="13"/>
    </row>
    <row r="316" spans="1:24" ht="16.5" thickBot="1" x14ac:dyDescent="0.3">
      <c r="A316" s="32" t="s">
        <v>278</v>
      </c>
      <c r="B316" s="1055" t="s">
        <v>142</v>
      </c>
      <c r="C316" s="1056"/>
      <c r="D316" s="1056"/>
      <c r="E316" s="1056"/>
      <c r="F316" s="1056"/>
      <c r="G316" s="1056"/>
      <c r="H316" s="1056"/>
      <c r="I316" s="1056"/>
      <c r="J316" s="1056"/>
      <c r="K316" s="1056"/>
      <c r="L316" s="1056"/>
      <c r="M316" s="1056"/>
      <c r="N316" s="1056"/>
      <c r="O316" s="1056"/>
      <c r="P316" s="1056"/>
      <c r="Q316" s="1056"/>
      <c r="R316" s="1056"/>
      <c r="S316" s="1056"/>
      <c r="T316" s="1056"/>
      <c r="U316" s="39"/>
      <c r="V316" s="39"/>
      <c r="W316" s="92"/>
      <c r="X316" s="13"/>
    </row>
    <row r="317" spans="1:24" ht="15.75" x14ac:dyDescent="0.25">
      <c r="A317" s="11"/>
      <c r="B317" s="40" t="s">
        <v>245</v>
      </c>
      <c r="C317" s="57"/>
      <c r="D317" s="58"/>
      <c r="E317" s="58"/>
      <c r="F317" s="1047" t="s">
        <v>242</v>
      </c>
      <c r="G317" s="1039" t="s">
        <v>262</v>
      </c>
      <c r="H317" s="58"/>
      <c r="I317" s="58"/>
      <c r="J317" s="58"/>
      <c r="K317" s="1047" t="s">
        <v>242</v>
      </c>
      <c r="L317" s="1039" t="s">
        <v>262</v>
      </c>
      <c r="M317" s="58"/>
      <c r="N317" s="58"/>
      <c r="O317" s="58"/>
      <c r="P317" s="1047" t="s">
        <v>242</v>
      </c>
      <c r="Q317" s="1039" t="s">
        <v>262</v>
      </c>
      <c r="R317" s="58"/>
      <c r="S317" s="58"/>
      <c r="T317" s="59"/>
      <c r="U317" s="1047" t="s">
        <v>242</v>
      </c>
      <c r="V317" s="1039" t="s">
        <v>262</v>
      </c>
      <c r="W317" s="1041" t="s">
        <v>143</v>
      </c>
      <c r="X317" s="1043" t="s">
        <v>144</v>
      </c>
    </row>
    <row r="318" spans="1:24" ht="22.5" customHeight="1" thickBot="1" x14ac:dyDescent="0.3">
      <c r="A318" s="47" t="s">
        <v>55</v>
      </c>
      <c r="B318" s="41" t="s">
        <v>246</v>
      </c>
      <c r="C318" s="60">
        <v>39270</v>
      </c>
      <c r="D318" s="61">
        <v>39301</v>
      </c>
      <c r="E318" s="61">
        <v>39332</v>
      </c>
      <c r="F318" s="1048"/>
      <c r="G318" s="1040"/>
      <c r="H318" s="61">
        <v>39362</v>
      </c>
      <c r="I318" s="61">
        <v>39393</v>
      </c>
      <c r="J318" s="61">
        <v>39423</v>
      </c>
      <c r="K318" s="1048"/>
      <c r="L318" s="1040"/>
      <c r="M318" s="61">
        <v>39448</v>
      </c>
      <c r="N318" s="61">
        <v>39479</v>
      </c>
      <c r="O318" s="61">
        <v>39508</v>
      </c>
      <c r="P318" s="1048"/>
      <c r="Q318" s="1040"/>
      <c r="R318" s="61">
        <v>39539</v>
      </c>
      <c r="S318" s="61">
        <v>39569</v>
      </c>
      <c r="T318" s="62">
        <v>39600</v>
      </c>
      <c r="U318" s="1048"/>
      <c r="V318" s="1040"/>
      <c r="W318" s="1042"/>
      <c r="X318" s="1044"/>
    </row>
    <row r="319" spans="1:24" ht="32.25" customHeight="1" thickBot="1" x14ac:dyDescent="0.3">
      <c r="A319" s="48" t="s">
        <v>275</v>
      </c>
      <c r="B319" s="42" t="s">
        <v>247</v>
      </c>
      <c r="C319" s="125">
        <v>497.33</v>
      </c>
      <c r="D319" s="125">
        <v>518.84</v>
      </c>
      <c r="E319" s="117">
        <v>487.7</v>
      </c>
      <c r="F319" s="63">
        <f t="shared" ref="F319:F333" si="198">SUM(C319:E319)/3</f>
        <v>501.29</v>
      </c>
      <c r="G319" s="108">
        <f t="shared" ref="G319:G333" si="199">F319*92</f>
        <v>46118.68</v>
      </c>
      <c r="H319" s="117">
        <v>478.39</v>
      </c>
      <c r="I319" s="117">
        <v>517.5</v>
      </c>
      <c r="J319" s="117">
        <v>496</v>
      </c>
      <c r="K319" s="63">
        <f t="shared" ref="K319:K333" si="200">SUM(H319:J319)/3</f>
        <v>497.29666666666662</v>
      </c>
      <c r="L319" s="108">
        <f t="shared" ref="L319:L333" si="201">K319*92</f>
        <v>45751.293333333328</v>
      </c>
      <c r="M319" s="117">
        <v>496.23</v>
      </c>
      <c r="N319" s="85">
        <v>488.45</v>
      </c>
      <c r="O319" s="85">
        <v>485</v>
      </c>
      <c r="P319" s="63">
        <f t="shared" ref="P319:P333" si="202">SUM(M319:O319)/3</f>
        <v>489.89333333333337</v>
      </c>
      <c r="Q319" s="108">
        <f t="shared" ref="Q319:Q333" si="203">P319*91</f>
        <v>44580.293333333335</v>
      </c>
      <c r="R319" s="117">
        <v>472.9</v>
      </c>
      <c r="S319" s="85">
        <v>474.23</v>
      </c>
      <c r="T319" s="135">
        <v>464.8</v>
      </c>
      <c r="U319" s="63">
        <f t="shared" ref="U319:U333" si="204">SUM(R319:T319)/3</f>
        <v>470.64333333333337</v>
      </c>
      <c r="V319" s="111">
        <f t="shared" ref="V319:V333" si="205">U319*91</f>
        <v>42828.543333333335</v>
      </c>
      <c r="W319" s="64">
        <f t="shared" ref="W319:W333" si="206">SUM(C319+D319+E319+H319+I319+J319+M319+N319+O319+R319+S319+T319)/12</f>
        <v>489.78083333333331</v>
      </c>
      <c r="X319" s="65">
        <f t="shared" ref="X319:X331" si="207">W319*366</f>
        <v>179259.785</v>
      </c>
    </row>
    <row r="320" spans="1:24" ht="16.5" thickBot="1" x14ac:dyDescent="0.3">
      <c r="A320" s="49" t="s">
        <v>127</v>
      </c>
      <c r="B320" s="43" t="s">
        <v>248</v>
      </c>
      <c r="C320" s="126">
        <v>103.6</v>
      </c>
      <c r="D320" s="126">
        <v>105.19</v>
      </c>
      <c r="E320" s="118">
        <v>116.63</v>
      </c>
      <c r="F320" s="63">
        <f t="shared" si="198"/>
        <v>108.47333333333331</v>
      </c>
      <c r="G320" s="108">
        <f t="shared" si="199"/>
        <v>9979.5466666666653</v>
      </c>
      <c r="H320" s="118">
        <v>127.03</v>
      </c>
      <c r="I320" s="118">
        <v>119.67</v>
      </c>
      <c r="J320" s="118">
        <v>114.84</v>
      </c>
      <c r="K320" s="63">
        <f t="shared" si="200"/>
        <v>120.51333333333332</v>
      </c>
      <c r="L320" s="108">
        <f t="shared" si="201"/>
        <v>11087.226666666666</v>
      </c>
      <c r="M320" s="118">
        <v>114.13</v>
      </c>
      <c r="N320" s="86">
        <v>105.28</v>
      </c>
      <c r="O320" s="86">
        <v>114.97</v>
      </c>
      <c r="P320" s="63">
        <f t="shared" si="202"/>
        <v>111.46</v>
      </c>
      <c r="Q320" s="108">
        <f t="shared" si="203"/>
        <v>10142.859999999999</v>
      </c>
      <c r="R320" s="118">
        <v>121.87</v>
      </c>
      <c r="S320" s="86">
        <v>119.32</v>
      </c>
      <c r="T320" s="89">
        <v>119.7</v>
      </c>
      <c r="U320" s="63">
        <f t="shared" si="204"/>
        <v>120.29666666666667</v>
      </c>
      <c r="V320" s="111">
        <f t="shared" si="205"/>
        <v>10946.996666666666</v>
      </c>
      <c r="W320" s="64">
        <f t="shared" si="206"/>
        <v>115.18583333333333</v>
      </c>
      <c r="X320" s="65">
        <f t="shared" si="207"/>
        <v>42158.014999999999</v>
      </c>
    </row>
    <row r="321" spans="1:24" ht="16.5" thickBot="1" x14ac:dyDescent="0.3">
      <c r="A321" s="50" t="s">
        <v>276</v>
      </c>
      <c r="B321" s="44" t="s">
        <v>249</v>
      </c>
      <c r="C321" s="4">
        <v>477.77</v>
      </c>
      <c r="D321" s="4">
        <v>481.42</v>
      </c>
      <c r="E321" s="3">
        <v>478.23</v>
      </c>
      <c r="F321" s="63">
        <f t="shared" si="198"/>
        <v>479.14000000000004</v>
      </c>
      <c r="G321" s="108">
        <f t="shared" si="199"/>
        <v>44080.880000000005</v>
      </c>
      <c r="H321" s="3">
        <v>473.19</v>
      </c>
      <c r="I321" s="3">
        <v>492.93</v>
      </c>
      <c r="J321" s="3">
        <v>493.74</v>
      </c>
      <c r="K321" s="63">
        <f t="shared" si="200"/>
        <v>486.62000000000006</v>
      </c>
      <c r="L321" s="108">
        <f t="shared" si="201"/>
        <v>44769.040000000008</v>
      </c>
      <c r="M321" s="3">
        <v>489.68</v>
      </c>
      <c r="N321" s="87">
        <v>493.34</v>
      </c>
      <c r="O321" s="87">
        <v>494.81</v>
      </c>
      <c r="P321" s="63">
        <f t="shared" si="202"/>
        <v>492.60999999999996</v>
      </c>
      <c r="Q321" s="108">
        <f t="shared" si="203"/>
        <v>44827.509999999995</v>
      </c>
      <c r="R321" s="3">
        <v>483.53</v>
      </c>
      <c r="S321" s="87">
        <v>479.29</v>
      </c>
      <c r="T321" s="90">
        <v>470.47</v>
      </c>
      <c r="U321" s="63">
        <f t="shared" si="204"/>
        <v>477.76333333333332</v>
      </c>
      <c r="V321" s="111">
        <f t="shared" si="205"/>
        <v>43476.463333333333</v>
      </c>
      <c r="W321" s="64">
        <f t="shared" si="206"/>
        <v>484.0333333333333</v>
      </c>
      <c r="X321" s="66">
        <f t="shared" si="207"/>
        <v>177156.19999999998</v>
      </c>
    </row>
    <row r="322" spans="1:24" ht="16.5" thickBot="1" x14ac:dyDescent="0.3">
      <c r="A322" s="50" t="s">
        <v>24</v>
      </c>
      <c r="B322" s="44" t="s">
        <v>250</v>
      </c>
      <c r="C322" s="4">
        <v>293.2</v>
      </c>
      <c r="D322" s="4">
        <v>300.81</v>
      </c>
      <c r="E322" s="3">
        <v>286.37</v>
      </c>
      <c r="F322" s="63">
        <f t="shared" si="198"/>
        <v>293.45999999999998</v>
      </c>
      <c r="G322" s="108">
        <f t="shared" si="199"/>
        <v>26998.32</v>
      </c>
      <c r="H322" s="3">
        <v>301.68</v>
      </c>
      <c r="I322" s="3">
        <v>306.73</v>
      </c>
      <c r="J322" s="3">
        <v>287.35000000000002</v>
      </c>
      <c r="K322" s="63">
        <f t="shared" si="200"/>
        <v>298.5866666666667</v>
      </c>
      <c r="L322" s="108">
        <f t="shared" si="201"/>
        <v>27469.973333333335</v>
      </c>
      <c r="M322" s="3">
        <v>292.10000000000002</v>
      </c>
      <c r="N322" s="87">
        <v>302.83</v>
      </c>
      <c r="O322" s="87">
        <v>303.39</v>
      </c>
      <c r="P322" s="63">
        <f t="shared" si="202"/>
        <v>299.44</v>
      </c>
      <c r="Q322" s="108">
        <f t="shared" si="203"/>
        <v>27249.040000000001</v>
      </c>
      <c r="R322" s="3">
        <v>295.13</v>
      </c>
      <c r="S322" s="87">
        <v>316.74</v>
      </c>
      <c r="T322" s="90">
        <v>311.57</v>
      </c>
      <c r="U322" s="63">
        <f t="shared" si="204"/>
        <v>307.81333333333333</v>
      </c>
      <c r="V322" s="111">
        <f t="shared" si="205"/>
        <v>28011.013333333332</v>
      </c>
      <c r="W322" s="64">
        <f t="shared" si="206"/>
        <v>299.82499999999999</v>
      </c>
      <c r="X322" s="66">
        <f t="shared" si="207"/>
        <v>109735.95</v>
      </c>
    </row>
    <row r="323" spans="1:24" ht="16.5" thickBot="1" x14ac:dyDescent="0.3">
      <c r="A323" s="51" t="s">
        <v>259</v>
      </c>
      <c r="B323" s="44" t="s">
        <v>251</v>
      </c>
      <c r="C323" s="4">
        <v>372.63</v>
      </c>
      <c r="D323" s="4">
        <v>382.94</v>
      </c>
      <c r="E323" s="3">
        <v>387.7</v>
      </c>
      <c r="F323" s="63">
        <f t="shared" si="198"/>
        <v>381.09</v>
      </c>
      <c r="G323" s="108">
        <f t="shared" si="199"/>
        <v>35060.28</v>
      </c>
      <c r="H323" s="3">
        <v>388.48</v>
      </c>
      <c r="I323" s="3">
        <v>388.53</v>
      </c>
      <c r="J323" s="3">
        <v>390.61</v>
      </c>
      <c r="K323" s="63">
        <f t="shared" si="200"/>
        <v>389.20666666666665</v>
      </c>
      <c r="L323" s="108">
        <f t="shared" si="201"/>
        <v>35807.013333333329</v>
      </c>
      <c r="M323" s="3">
        <v>380.19</v>
      </c>
      <c r="N323" s="87">
        <v>376.14</v>
      </c>
      <c r="O323" s="87">
        <v>375.65</v>
      </c>
      <c r="P323" s="63">
        <f t="shared" si="202"/>
        <v>377.32666666666665</v>
      </c>
      <c r="Q323" s="108">
        <f t="shared" si="203"/>
        <v>34336.726666666662</v>
      </c>
      <c r="R323" s="3">
        <v>385.47</v>
      </c>
      <c r="S323" s="87">
        <v>395.55</v>
      </c>
      <c r="T323" s="90">
        <v>375.6</v>
      </c>
      <c r="U323" s="63">
        <f t="shared" si="204"/>
        <v>385.53999999999996</v>
      </c>
      <c r="V323" s="111">
        <f t="shared" si="205"/>
        <v>35084.14</v>
      </c>
      <c r="W323" s="64">
        <f t="shared" si="206"/>
        <v>383.29083333333341</v>
      </c>
      <c r="X323" s="66">
        <f t="shared" si="207"/>
        <v>140284.44500000004</v>
      </c>
    </row>
    <row r="324" spans="1:24" ht="16.5" thickBot="1" x14ac:dyDescent="0.3">
      <c r="A324" s="50" t="s">
        <v>15</v>
      </c>
      <c r="B324" s="44" t="s">
        <v>252</v>
      </c>
      <c r="C324" s="4">
        <v>59.53</v>
      </c>
      <c r="D324" s="4">
        <v>62.064999999999998</v>
      </c>
      <c r="E324" s="3">
        <v>59.9</v>
      </c>
      <c r="F324" s="63">
        <f t="shared" si="198"/>
        <v>60.498333333333335</v>
      </c>
      <c r="G324" s="108">
        <f t="shared" si="199"/>
        <v>5565.8466666666664</v>
      </c>
      <c r="H324" s="3">
        <v>64.451999999999998</v>
      </c>
      <c r="I324" s="3">
        <v>58.667000000000002</v>
      </c>
      <c r="J324" s="3">
        <v>54.805999999999997</v>
      </c>
      <c r="K324" s="63">
        <f t="shared" si="200"/>
        <v>59.308333333333337</v>
      </c>
      <c r="L324" s="108">
        <f t="shared" si="201"/>
        <v>5456.3666666666668</v>
      </c>
      <c r="M324" s="3">
        <v>58.451999999999998</v>
      </c>
      <c r="N324" s="87">
        <v>58.896999999999998</v>
      </c>
      <c r="O324" s="87">
        <v>56.871000000000002</v>
      </c>
      <c r="P324" s="63">
        <f t="shared" si="202"/>
        <v>58.073333333333331</v>
      </c>
      <c r="Q324" s="108">
        <f t="shared" si="203"/>
        <v>5284.6733333333332</v>
      </c>
      <c r="R324" s="3">
        <v>52.6</v>
      </c>
      <c r="S324" s="87">
        <v>52.484000000000002</v>
      </c>
      <c r="T324" s="90">
        <v>58</v>
      </c>
      <c r="U324" s="63">
        <f t="shared" si="204"/>
        <v>54.361333333333334</v>
      </c>
      <c r="V324" s="111">
        <f t="shared" si="205"/>
        <v>4946.8813333333337</v>
      </c>
      <c r="W324" s="64">
        <f t="shared" si="206"/>
        <v>58.06033333333334</v>
      </c>
      <c r="X324" s="66">
        <f t="shared" si="207"/>
        <v>21250.082000000002</v>
      </c>
    </row>
    <row r="325" spans="1:24" ht="16.5" thickBot="1" x14ac:dyDescent="0.3">
      <c r="A325" s="50" t="s">
        <v>16</v>
      </c>
      <c r="B325" s="44" t="s">
        <v>253</v>
      </c>
      <c r="C325" s="4">
        <v>191.07</v>
      </c>
      <c r="D325" s="4">
        <v>202.16</v>
      </c>
      <c r="E325" s="3">
        <v>219.33</v>
      </c>
      <c r="F325" s="63">
        <f t="shared" si="198"/>
        <v>204.1866666666667</v>
      </c>
      <c r="G325" s="108">
        <f t="shared" si="199"/>
        <v>18785.173333333336</v>
      </c>
      <c r="H325" s="3">
        <v>224.58</v>
      </c>
      <c r="I325" s="3">
        <v>212.17</v>
      </c>
      <c r="J325" s="3">
        <v>214</v>
      </c>
      <c r="K325" s="63">
        <f t="shared" si="200"/>
        <v>216.91666666666666</v>
      </c>
      <c r="L325" s="108">
        <f t="shared" si="201"/>
        <v>19956.333333333332</v>
      </c>
      <c r="M325" s="3">
        <v>210.68</v>
      </c>
      <c r="N325" s="87">
        <v>204</v>
      </c>
      <c r="O325" s="87">
        <v>199.61</v>
      </c>
      <c r="P325" s="63">
        <f t="shared" si="202"/>
        <v>204.76333333333332</v>
      </c>
      <c r="Q325" s="108">
        <f t="shared" si="203"/>
        <v>18633.463333333333</v>
      </c>
      <c r="R325" s="3">
        <v>198.63</v>
      </c>
      <c r="S325" s="87">
        <v>201.52</v>
      </c>
      <c r="T325" s="90">
        <v>208.17</v>
      </c>
      <c r="U325" s="63">
        <f t="shared" si="204"/>
        <v>202.77333333333331</v>
      </c>
      <c r="V325" s="111">
        <f t="shared" si="205"/>
        <v>18452.373333333333</v>
      </c>
      <c r="W325" s="64">
        <f t="shared" si="206"/>
        <v>207.16000000000005</v>
      </c>
      <c r="X325" s="66">
        <f t="shared" si="207"/>
        <v>75820.560000000027</v>
      </c>
    </row>
    <row r="326" spans="1:24" ht="16.5" thickBot="1" x14ac:dyDescent="0.3">
      <c r="A326" s="50" t="s">
        <v>129</v>
      </c>
      <c r="B326" s="44" t="s">
        <v>254</v>
      </c>
      <c r="C326" s="4">
        <v>107.23</v>
      </c>
      <c r="D326" s="4">
        <v>112.68</v>
      </c>
      <c r="E326" s="3">
        <v>112.47</v>
      </c>
      <c r="F326" s="63">
        <f t="shared" si="198"/>
        <v>110.79333333333334</v>
      </c>
      <c r="G326" s="108">
        <f t="shared" si="199"/>
        <v>10192.986666666668</v>
      </c>
      <c r="H326" s="3">
        <v>105.71</v>
      </c>
      <c r="I326" s="3">
        <v>116.33</v>
      </c>
      <c r="J326" s="3">
        <v>118.42</v>
      </c>
      <c r="K326" s="63">
        <f t="shared" si="200"/>
        <v>113.48666666666666</v>
      </c>
      <c r="L326" s="108">
        <f t="shared" si="201"/>
        <v>10440.773333333333</v>
      </c>
      <c r="M326" s="3">
        <v>120.87</v>
      </c>
      <c r="N326" s="87">
        <v>114.14</v>
      </c>
      <c r="O326" s="87">
        <v>120</v>
      </c>
      <c r="P326" s="63">
        <f t="shared" si="202"/>
        <v>118.33666666666666</v>
      </c>
      <c r="Q326" s="108">
        <f t="shared" si="203"/>
        <v>10768.636666666665</v>
      </c>
      <c r="R326" s="3">
        <v>111.4</v>
      </c>
      <c r="S326" s="87">
        <v>113.13</v>
      </c>
      <c r="T326" s="90">
        <v>105.33</v>
      </c>
      <c r="U326" s="63">
        <f t="shared" si="204"/>
        <v>109.95333333333333</v>
      </c>
      <c r="V326" s="111">
        <f t="shared" si="205"/>
        <v>10005.753333333334</v>
      </c>
      <c r="W326" s="64">
        <f t="shared" si="206"/>
        <v>113.1425</v>
      </c>
      <c r="X326" s="66">
        <f t="shared" si="207"/>
        <v>41410.154999999999</v>
      </c>
    </row>
    <row r="327" spans="1:24" ht="16.5" thickBot="1" x14ac:dyDescent="0.3">
      <c r="A327" s="51" t="s">
        <v>260</v>
      </c>
      <c r="B327" s="44" t="s">
        <v>255</v>
      </c>
      <c r="C327" s="4">
        <v>401.24</v>
      </c>
      <c r="D327" s="4">
        <v>418.58</v>
      </c>
      <c r="E327" s="3">
        <v>416.06</v>
      </c>
      <c r="F327" s="63">
        <f t="shared" si="198"/>
        <v>411.96</v>
      </c>
      <c r="G327" s="108">
        <f t="shared" si="199"/>
        <v>37900.32</v>
      </c>
      <c r="H327" s="3">
        <v>408.42</v>
      </c>
      <c r="I327" s="3">
        <v>415.64</v>
      </c>
      <c r="J327" s="3">
        <v>415.45</v>
      </c>
      <c r="K327" s="63">
        <f t="shared" si="200"/>
        <v>413.17</v>
      </c>
      <c r="L327" s="108">
        <f t="shared" si="201"/>
        <v>38011.64</v>
      </c>
      <c r="M327" s="3">
        <v>419.25</v>
      </c>
      <c r="N327" s="87">
        <v>416.96</v>
      </c>
      <c r="O327" s="87">
        <v>413.39</v>
      </c>
      <c r="P327" s="63">
        <f t="shared" si="202"/>
        <v>416.5333333333333</v>
      </c>
      <c r="Q327" s="108">
        <f t="shared" si="203"/>
        <v>37904.533333333333</v>
      </c>
      <c r="R327" s="3">
        <v>425.9</v>
      </c>
      <c r="S327" s="87">
        <v>419.71</v>
      </c>
      <c r="T327" s="90">
        <v>417.84</v>
      </c>
      <c r="U327" s="63">
        <f t="shared" si="204"/>
        <v>421.14999999999992</v>
      </c>
      <c r="V327" s="111">
        <f t="shared" si="205"/>
        <v>38324.649999999994</v>
      </c>
      <c r="W327" s="64">
        <f t="shared" si="206"/>
        <v>415.70333333333332</v>
      </c>
      <c r="X327" s="66">
        <f t="shared" si="207"/>
        <v>152147.41999999998</v>
      </c>
    </row>
    <row r="328" spans="1:24" ht="16.5" thickBot="1" x14ac:dyDescent="0.3">
      <c r="A328" s="50" t="s">
        <v>138</v>
      </c>
      <c r="B328" s="121" t="s">
        <v>263</v>
      </c>
      <c r="C328" s="4">
        <v>114.47</v>
      </c>
      <c r="D328" s="4">
        <v>118.03</v>
      </c>
      <c r="E328" s="3">
        <v>126.1</v>
      </c>
      <c r="F328" s="63">
        <f t="shared" si="198"/>
        <v>119.53333333333335</v>
      </c>
      <c r="G328" s="108">
        <f t="shared" si="199"/>
        <v>10997.066666666668</v>
      </c>
      <c r="H328" s="3">
        <v>123.23</v>
      </c>
      <c r="I328" s="3">
        <v>121.9</v>
      </c>
      <c r="J328" s="3">
        <v>120.58</v>
      </c>
      <c r="K328" s="63">
        <f t="shared" si="200"/>
        <v>121.90333333333332</v>
      </c>
      <c r="L328" s="108">
        <f t="shared" si="201"/>
        <v>11215.106666666665</v>
      </c>
      <c r="M328" s="3">
        <v>118.13</v>
      </c>
      <c r="N328" s="87">
        <v>121.76</v>
      </c>
      <c r="O328" s="87">
        <v>126.06</v>
      </c>
      <c r="P328" s="63">
        <f t="shared" si="202"/>
        <v>121.98333333333333</v>
      </c>
      <c r="Q328" s="108">
        <f t="shared" si="203"/>
        <v>11100.483333333334</v>
      </c>
      <c r="R328" s="3">
        <v>121.87</v>
      </c>
      <c r="S328" s="87">
        <v>119.39</v>
      </c>
      <c r="T328" s="90">
        <v>119.73</v>
      </c>
      <c r="U328" s="63">
        <f t="shared" si="204"/>
        <v>120.33</v>
      </c>
      <c r="V328" s="111">
        <f t="shared" si="205"/>
        <v>10950.03</v>
      </c>
      <c r="W328" s="64">
        <f t="shared" si="206"/>
        <v>120.93750000000001</v>
      </c>
      <c r="X328" s="66">
        <f t="shared" si="207"/>
        <v>44263.125000000007</v>
      </c>
    </row>
    <row r="329" spans="1:24" ht="16.5" thickBot="1" x14ac:dyDescent="0.3">
      <c r="A329" s="49" t="s">
        <v>19</v>
      </c>
      <c r="B329" s="43" t="s">
        <v>256</v>
      </c>
      <c r="C329" s="126">
        <v>534.33000000000004</v>
      </c>
      <c r="D329" s="126">
        <v>522</v>
      </c>
      <c r="E329" s="118">
        <v>539.79999999999995</v>
      </c>
      <c r="F329" s="63">
        <f t="shared" si="198"/>
        <v>532.04333333333329</v>
      </c>
      <c r="G329" s="108">
        <f t="shared" si="199"/>
        <v>48947.986666666664</v>
      </c>
      <c r="H329" s="118">
        <v>533.9</v>
      </c>
      <c r="I329" s="3">
        <v>523.23</v>
      </c>
      <c r="J329" s="118">
        <v>536.65</v>
      </c>
      <c r="K329" s="63">
        <f t="shared" si="200"/>
        <v>531.2600000000001</v>
      </c>
      <c r="L329" s="111">
        <f t="shared" si="201"/>
        <v>48875.920000000013</v>
      </c>
      <c r="M329" s="3">
        <v>531.54999999999995</v>
      </c>
      <c r="N329" s="86">
        <v>540.66</v>
      </c>
      <c r="O329" s="86">
        <v>539.23</v>
      </c>
      <c r="P329" s="63">
        <f t="shared" si="202"/>
        <v>537.14666666666665</v>
      </c>
      <c r="Q329" s="108">
        <f t="shared" si="203"/>
        <v>48880.346666666665</v>
      </c>
      <c r="R329" s="3">
        <v>546.73</v>
      </c>
      <c r="S329" s="86">
        <v>549.54999999999995</v>
      </c>
      <c r="T329" s="89">
        <v>542.33000000000004</v>
      </c>
      <c r="U329" s="63">
        <f t="shared" si="204"/>
        <v>546.20333333333338</v>
      </c>
      <c r="V329" s="111">
        <f t="shared" si="205"/>
        <v>49704.503333333334</v>
      </c>
      <c r="W329" s="64">
        <f t="shared" si="206"/>
        <v>536.6633333333333</v>
      </c>
      <c r="X329" s="65">
        <f t="shared" si="207"/>
        <v>196418.78</v>
      </c>
    </row>
    <row r="330" spans="1:24" ht="16.5" thickBot="1" x14ac:dyDescent="0.3">
      <c r="A330" s="51" t="s">
        <v>261</v>
      </c>
      <c r="B330" s="44" t="s">
        <v>257</v>
      </c>
      <c r="C330" s="4">
        <v>368.7</v>
      </c>
      <c r="D330" s="4">
        <v>389.1</v>
      </c>
      <c r="E330" s="3">
        <v>375.1</v>
      </c>
      <c r="F330" s="63">
        <f t="shared" si="198"/>
        <v>377.63333333333338</v>
      </c>
      <c r="G330" s="108">
        <f t="shared" si="199"/>
        <v>34742.26666666667</v>
      </c>
      <c r="H330" s="3">
        <v>359.84</v>
      </c>
      <c r="I330" s="3">
        <v>370.83</v>
      </c>
      <c r="J330" s="3">
        <v>367.13</v>
      </c>
      <c r="K330" s="63">
        <f t="shared" si="200"/>
        <v>365.93333333333334</v>
      </c>
      <c r="L330" s="108">
        <f t="shared" si="201"/>
        <v>33665.866666666669</v>
      </c>
      <c r="M330" s="3">
        <v>387.26</v>
      </c>
      <c r="N330" s="87">
        <v>370.69</v>
      </c>
      <c r="O330" s="87">
        <v>381.1</v>
      </c>
      <c r="P330" s="63">
        <f t="shared" si="202"/>
        <v>379.68333333333339</v>
      </c>
      <c r="Q330" s="108">
        <f t="shared" si="203"/>
        <v>34551.183333333342</v>
      </c>
      <c r="R330" s="3">
        <v>378.1</v>
      </c>
      <c r="S330" s="87">
        <v>371.32</v>
      </c>
      <c r="T330" s="90">
        <v>369.87</v>
      </c>
      <c r="U330" s="63">
        <f t="shared" si="204"/>
        <v>373.09666666666664</v>
      </c>
      <c r="V330" s="111">
        <f t="shared" si="205"/>
        <v>33951.796666666662</v>
      </c>
      <c r="W330" s="64">
        <f t="shared" si="206"/>
        <v>374.08666666666664</v>
      </c>
      <c r="X330" s="66">
        <f t="shared" si="207"/>
        <v>136915.72</v>
      </c>
    </row>
    <row r="331" spans="1:24" ht="16.5" thickBot="1" x14ac:dyDescent="0.3">
      <c r="A331" s="50" t="s">
        <v>130</v>
      </c>
      <c r="B331" s="44" t="s">
        <v>258</v>
      </c>
      <c r="C331" s="4">
        <v>103.5</v>
      </c>
      <c r="D331" s="4">
        <v>106.61</v>
      </c>
      <c r="E331" s="3">
        <v>112.3</v>
      </c>
      <c r="F331" s="63">
        <f t="shared" si="198"/>
        <v>107.47000000000001</v>
      </c>
      <c r="G331" s="108">
        <f t="shared" si="199"/>
        <v>9887.2400000000016</v>
      </c>
      <c r="H331" s="3">
        <v>104.45</v>
      </c>
      <c r="I331" s="3">
        <v>115.03</v>
      </c>
      <c r="J331" s="3">
        <v>108.74</v>
      </c>
      <c r="K331" s="63">
        <f t="shared" si="200"/>
        <v>109.40666666666668</v>
      </c>
      <c r="L331" s="108">
        <f t="shared" si="201"/>
        <v>10065.413333333334</v>
      </c>
      <c r="M331" s="3">
        <v>105.71</v>
      </c>
      <c r="N331" s="87">
        <v>110.93</v>
      </c>
      <c r="O331" s="87">
        <v>110.61</v>
      </c>
      <c r="P331" s="63">
        <f t="shared" si="202"/>
        <v>109.08333333333333</v>
      </c>
      <c r="Q331" s="108">
        <f t="shared" si="203"/>
        <v>9926.5833333333321</v>
      </c>
      <c r="R331" s="3">
        <v>110.73</v>
      </c>
      <c r="S331" s="87">
        <v>109.84</v>
      </c>
      <c r="T331" s="90">
        <v>111.77</v>
      </c>
      <c r="U331" s="63">
        <f t="shared" si="204"/>
        <v>110.77999999999999</v>
      </c>
      <c r="V331" s="111">
        <f t="shared" si="205"/>
        <v>10080.98</v>
      </c>
      <c r="W331" s="64">
        <f t="shared" si="206"/>
        <v>109.18499999999999</v>
      </c>
      <c r="X331" s="66">
        <f t="shared" si="207"/>
        <v>39961.71</v>
      </c>
    </row>
    <row r="332" spans="1:24" ht="16.5" thickBot="1" x14ac:dyDescent="0.3">
      <c r="A332" s="50" t="s">
        <v>131</v>
      </c>
      <c r="B332" s="34"/>
      <c r="C332" s="4">
        <v>0</v>
      </c>
      <c r="D332" s="4">
        <v>0</v>
      </c>
      <c r="E332" s="18"/>
      <c r="F332" s="67">
        <f t="shared" si="198"/>
        <v>0</v>
      </c>
      <c r="G332" s="108">
        <f t="shared" si="199"/>
        <v>0</v>
      </c>
      <c r="H332" s="18">
        <v>0</v>
      </c>
      <c r="I332" s="18">
        <v>0</v>
      </c>
      <c r="J332" s="18"/>
      <c r="K332" s="67">
        <f t="shared" si="200"/>
        <v>0</v>
      </c>
      <c r="L332" s="108">
        <f t="shared" si="201"/>
        <v>0</v>
      </c>
      <c r="M332" s="18"/>
      <c r="N332" s="4">
        <v>0</v>
      </c>
      <c r="O332" s="87"/>
      <c r="P332" s="67">
        <f t="shared" si="202"/>
        <v>0</v>
      </c>
      <c r="Q332" s="108">
        <f t="shared" si="203"/>
        <v>0</v>
      </c>
      <c r="R332" s="3"/>
      <c r="S332" s="4"/>
      <c r="T332" s="4"/>
      <c r="U332" s="67">
        <f t="shared" si="204"/>
        <v>0</v>
      </c>
      <c r="V332" s="112">
        <f t="shared" si="205"/>
        <v>0</v>
      </c>
      <c r="W332" s="137">
        <f t="shared" si="206"/>
        <v>0</v>
      </c>
      <c r="X332" s="66">
        <f>W332*365</f>
        <v>0</v>
      </c>
    </row>
    <row r="333" spans="1:24" ht="16.5" thickBot="1" x14ac:dyDescent="0.3">
      <c r="A333" s="46" t="s">
        <v>139</v>
      </c>
      <c r="B333" s="35"/>
      <c r="C333" s="80">
        <f>SUM(C319:C332)</f>
        <v>3624.599999999999</v>
      </c>
      <c r="D333" s="80">
        <f>SUM(D319:D332)</f>
        <v>3720.4250000000002</v>
      </c>
      <c r="E333" s="80">
        <f>SUM(E319:E332)</f>
        <v>3717.69</v>
      </c>
      <c r="F333" s="68">
        <f t="shared" si="198"/>
        <v>3687.5716666666667</v>
      </c>
      <c r="G333" s="108">
        <f t="shared" si="199"/>
        <v>339256.59333333332</v>
      </c>
      <c r="H333" s="94">
        <f>SUM(H319:H332)</f>
        <v>3693.3520000000003</v>
      </c>
      <c r="I333" s="80">
        <f>SUM(I319:I332)</f>
        <v>3759.1569999999997</v>
      </c>
      <c r="J333" s="80">
        <f>SUM(J319:J332)</f>
        <v>3718.3159999999998</v>
      </c>
      <c r="K333" s="68">
        <f t="shared" si="200"/>
        <v>3723.6083333333336</v>
      </c>
      <c r="L333" s="119">
        <f t="shared" si="201"/>
        <v>342571.96666666667</v>
      </c>
      <c r="M333" s="9">
        <f>SUM(M319:M332)</f>
        <v>3724.232</v>
      </c>
      <c r="N333" s="80">
        <f>SUM(N319:N332)</f>
        <v>3704.0769999999998</v>
      </c>
      <c r="O333" s="80">
        <f>SUM(O319:O332)</f>
        <v>3720.6910000000003</v>
      </c>
      <c r="P333" s="68">
        <f t="shared" si="202"/>
        <v>3716.3333333333335</v>
      </c>
      <c r="Q333" s="119">
        <f t="shared" si="203"/>
        <v>338186.33333333337</v>
      </c>
      <c r="R333" s="94">
        <f>SUM(R319:R332)</f>
        <v>3704.8599999999997</v>
      </c>
      <c r="S333" s="80">
        <f>SUM(S319:S332)</f>
        <v>3722.0740000000001</v>
      </c>
      <c r="T333" s="81">
        <f>SUM(T319:T332)</f>
        <v>3675.18</v>
      </c>
      <c r="U333" s="68">
        <f t="shared" si="204"/>
        <v>3700.7046666666665</v>
      </c>
      <c r="V333" s="120">
        <f t="shared" si="205"/>
        <v>336764.12466666667</v>
      </c>
      <c r="W333" s="138">
        <f t="shared" si="206"/>
        <v>3707.0545000000002</v>
      </c>
      <c r="X333" s="69">
        <f>SUM(X319:X332)</f>
        <v>1356781.9470000002</v>
      </c>
    </row>
    <row r="334" spans="1:24" ht="16.5" thickBot="1" x14ac:dyDescent="0.3">
      <c r="A334" s="46" t="s">
        <v>140</v>
      </c>
      <c r="B334" s="35"/>
      <c r="C334" s="70"/>
      <c r="D334" s="70"/>
      <c r="E334" s="71"/>
      <c r="F334" s="98"/>
      <c r="G334" s="98"/>
      <c r="H334" s="72"/>
      <c r="I334" s="70" t="s">
        <v>236</v>
      </c>
      <c r="J334" s="71"/>
      <c r="K334" s="97"/>
      <c r="L334" s="97"/>
      <c r="M334" s="72"/>
      <c r="N334" s="70"/>
      <c r="O334" s="71"/>
      <c r="P334" s="97"/>
      <c r="Q334" s="97"/>
      <c r="R334" s="72"/>
      <c r="S334" s="70"/>
      <c r="T334" s="71"/>
      <c r="U334" s="71"/>
      <c r="V334" s="70"/>
      <c r="W334" s="96"/>
      <c r="X334" s="69" t="s">
        <v>0</v>
      </c>
    </row>
    <row r="335" spans="1:24" ht="25.5" customHeight="1" thickBot="1" x14ac:dyDescent="0.3">
      <c r="A335" s="49" t="s">
        <v>132</v>
      </c>
      <c r="B335" s="33"/>
      <c r="C335" s="6">
        <v>546</v>
      </c>
      <c r="D335" s="6">
        <v>550</v>
      </c>
      <c r="E335" s="6">
        <v>604</v>
      </c>
      <c r="F335" s="63">
        <f t="shared" ref="F335:F341" si="208">SUM(C335:E335)/3</f>
        <v>566.66666666666663</v>
      </c>
      <c r="G335" s="108">
        <f t="shared" ref="G335:G341" si="209">F335*92</f>
        <v>52133.333333333328</v>
      </c>
      <c r="H335" s="6">
        <v>624</v>
      </c>
      <c r="I335" s="6">
        <v>648</v>
      </c>
      <c r="J335" s="6">
        <v>622</v>
      </c>
      <c r="K335" s="63">
        <f t="shared" ref="K335:K342" si="210">SUM(H335:J335)/3</f>
        <v>631.33333333333337</v>
      </c>
      <c r="L335" s="108">
        <f t="shared" ref="L335:L341" si="211">K335*92</f>
        <v>58082.666666666672</v>
      </c>
      <c r="M335" s="6">
        <v>637</v>
      </c>
      <c r="N335" s="73">
        <v>647</v>
      </c>
      <c r="O335" s="73">
        <v>630</v>
      </c>
      <c r="P335" s="63">
        <f t="shared" ref="P335:P342" si="212">SUM(M335:O335)/3</f>
        <v>638</v>
      </c>
      <c r="Q335" s="108">
        <f t="shared" ref="Q335:Q341" si="213">P335*91</f>
        <v>58058</v>
      </c>
      <c r="R335" s="6">
        <v>629</v>
      </c>
      <c r="S335" s="73">
        <v>612</v>
      </c>
      <c r="T335" s="74">
        <v>609</v>
      </c>
      <c r="U335" s="63">
        <f t="shared" ref="U335:U342" si="214">SUM(R335:T335)/3</f>
        <v>616.66666666666663</v>
      </c>
      <c r="V335" s="111">
        <f t="shared" ref="V335:V341" si="215">U335*91</f>
        <v>56116.666666666664</v>
      </c>
      <c r="W335" s="64">
        <f t="shared" ref="W335:W340" si="216">SUM(C335+D335+E335+H335+I335+J335+M335+N335+O335+R335+S335+T335)/12</f>
        <v>613.16666666666663</v>
      </c>
      <c r="X335" s="65">
        <f t="shared" ref="X335:X340" si="217">W335*366</f>
        <v>224419</v>
      </c>
    </row>
    <row r="336" spans="1:24" ht="16.5" thickBot="1" x14ac:dyDescent="0.3">
      <c r="A336" s="50" t="s">
        <v>133</v>
      </c>
      <c r="B336" s="34"/>
      <c r="C336" s="5">
        <v>6</v>
      </c>
      <c r="D336" s="5">
        <v>4</v>
      </c>
      <c r="E336" s="5">
        <v>5</v>
      </c>
      <c r="F336" s="63">
        <f t="shared" si="208"/>
        <v>5</v>
      </c>
      <c r="G336" s="108">
        <f t="shared" si="209"/>
        <v>460</v>
      </c>
      <c r="H336" s="5">
        <v>6</v>
      </c>
      <c r="I336" s="5">
        <v>5</v>
      </c>
      <c r="J336" s="5">
        <v>5</v>
      </c>
      <c r="K336" s="63">
        <f t="shared" si="210"/>
        <v>5.333333333333333</v>
      </c>
      <c r="L336" s="108">
        <f t="shared" si="211"/>
        <v>490.66666666666663</v>
      </c>
      <c r="M336" s="5">
        <v>6</v>
      </c>
      <c r="N336" s="75">
        <v>7</v>
      </c>
      <c r="O336" s="75">
        <v>7</v>
      </c>
      <c r="P336" s="63">
        <f t="shared" si="212"/>
        <v>6.666666666666667</v>
      </c>
      <c r="Q336" s="108">
        <f t="shared" si="213"/>
        <v>606.66666666666674</v>
      </c>
      <c r="R336" s="5">
        <v>7</v>
      </c>
      <c r="S336" s="75">
        <v>7</v>
      </c>
      <c r="T336" s="76">
        <v>5</v>
      </c>
      <c r="U336" s="63">
        <f t="shared" si="214"/>
        <v>6.333333333333333</v>
      </c>
      <c r="V336" s="111">
        <f t="shared" si="215"/>
        <v>576.33333333333326</v>
      </c>
      <c r="W336" s="64">
        <f t="shared" si="216"/>
        <v>5.833333333333333</v>
      </c>
      <c r="X336" s="66">
        <f t="shared" si="217"/>
        <v>2135</v>
      </c>
    </row>
    <row r="337" spans="1:24" ht="16.5" thickBot="1" x14ac:dyDescent="0.3">
      <c r="A337" s="50" t="s">
        <v>135</v>
      </c>
      <c r="B337" s="34"/>
      <c r="C337" s="5">
        <v>29</v>
      </c>
      <c r="D337" s="5">
        <v>29</v>
      </c>
      <c r="E337" s="5">
        <v>28</v>
      </c>
      <c r="F337" s="63">
        <f t="shared" si="208"/>
        <v>28.666666666666668</v>
      </c>
      <c r="G337" s="108">
        <f t="shared" si="209"/>
        <v>2637.3333333333335</v>
      </c>
      <c r="H337" s="5">
        <v>32</v>
      </c>
      <c r="I337" s="5">
        <v>32</v>
      </c>
      <c r="J337" s="5">
        <v>33</v>
      </c>
      <c r="K337" s="63">
        <f t="shared" si="210"/>
        <v>32.333333333333336</v>
      </c>
      <c r="L337" s="108">
        <f t="shared" si="211"/>
        <v>2974.666666666667</v>
      </c>
      <c r="M337" s="5">
        <v>32</v>
      </c>
      <c r="N337" s="75">
        <v>32</v>
      </c>
      <c r="O337" s="75">
        <v>32</v>
      </c>
      <c r="P337" s="63">
        <f t="shared" si="212"/>
        <v>32</v>
      </c>
      <c r="Q337" s="108">
        <f t="shared" si="213"/>
        <v>2912</v>
      </c>
      <c r="R337" s="5">
        <v>35</v>
      </c>
      <c r="S337" s="75">
        <v>34</v>
      </c>
      <c r="T337" s="76">
        <v>32</v>
      </c>
      <c r="U337" s="63">
        <f t="shared" si="214"/>
        <v>33.666666666666664</v>
      </c>
      <c r="V337" s="111">
        <f t="shared" si="215"/>
        <v>3063.6666666666665</v>
      </c>
      <c r="W337" s="64">
        <f t="shared" si="216"/>
        <v>31.666666666666668</v>
      </c>
      <c r="X337" s="66">
        <f t="shared" si="217"/>
        <v>11590</v>
      </c>
    </row>
    <row r="338" spans="1:24" ht="16.5" thickBot="1" x14ac:dyDescent="0.3">
      <c r="A338" s="50" t="s">
        <v>134</v>
      </c>
      <c r="B338" s="34"/>
      <c r="C338" s="5">
        <v>144</v>
      </c>
      <c r="D338" s="5">
        <v>146</v>
      </c>
      <c r="E338" s="5">
        <v>146</v>
      </c>
      <c r="F338" s="63">
        <f t="shared" si="208"/>
        <v>145.33333333333334</v>
      </c>
      <c r="G338" s="108">
        <f t="shared" si="209"/>
        <v>13370.666666666668</v>
      </c>
      <c r="H338" s="5">
        <v>153</v>
      </c>
      <c r="I338" s="5">
        <v>159</v>
      </c>
      <c r="J338" s="5">
        <v>147</v>
      </c>
      <c r="K338" s="63">
        <f t="shared" si="210"/>
        <v>153</v>
      </c>
      <c r="L338" s="108">
        <f t="shared" si="211"/>
        <v>14076</v>
      </c>
      <c r="M338" s="5">
        <v>150</v>
      </c>
      <c r="N338" s="75">
        <v>145</v>
      </c>
      <c r="O338" s="75">
        <v>147</v>
      </c>
      <c r="P338" s="63">
        <f t="shared" si="212"/>
        <v>147.33333333333334</v>
      </c>
      <c r="Q338" s="108">
        <f t="shared" si="213"/>
        <v>13407.333333333334</v>
      </c>
      <c r="R338" s="5">
        <v>153</v>
      </c>
      <c r="S338" s="75">
        <v>162</v>
      </c>
      <c r="T338" s="76">
        <v>155</v>
      </c>
      <c r="U338" s="63">
        <f t="shared" si="214"/>
        <v>156.66666666666666</v>
      </c>
      <c r="V338" s="111">
        <f t="shared" si="215"/>
        <v>14256.666666666666</v>
      </c>
      <c r="W338" s="64">
        <f t="shared" si="216"/>
        <v>150.58333333333334</v>
      </c>
      <c r="X338" s="66">
        <f t="shared" si="217"/>
        <v>55113.5</v>
      </c>
    </row>
    <row r="339" spans="1:24" ht="16.5" thickBot="1" x14ac:dyDescent="0.3">
      <c r="A339" s="50" t="s">
        <v>136</v>
      </c>
      <c r="B339" s="34"/>
      <c r="C339" s="5">
        <v>913</v>
      </c>
      <c r="D339" s="5">
        <v>860</v>
      </c>
      <c r="E339" s="5">
        <v>859</v>
      </c>
      <c r="F339" s="63">
        <f t="shared" si="208"/>
        <v>877.33333333333337</v>
      </c>
      <c r="G339" s="108">
        <f t="shared" si="209"/>
        <v>80714.666666666672</v>
      </c>
      <c r="H339" s="5">
        <v>856</v>
      </c>
      <c r="I339" s="5">
        <v>853</v>
      </c>
      <c r="J339" s="5">
        <v>854</v>
      </c>
      <c r="K339" s="63">
        <f t="shared" si="210"/>
        <v>854.33333333333337</v>
      </c>
      <c r="L339" s="108">
        <f t="shared" si="211"/>
        <v>78598.666666666672</v>
      </c>
      <c r="M339" s="5">
        <v>854</v>
      </c>
      <c r="N339" s="75">
        <v>853</v>
      </c>
      <c r="O339" s="75">
        <v>847</v>
      </c>
      <c r="P339" s="63">
        <f t="shared" si="212"/>
        <v>851.33333333333337</v>
      </c>
      <c r="Q339" s="108">
        <f t="shared" si="213"/>
        <v>77471.333333333343</v>
      </c>
      <c r="R339" s="5">
        <v>847</v>
      </c>
      <c r="S339" s="75">
        <v>845</v>
      </c>
      <c r="T339" s="76">
        <v>839</v>
      </c>
      <c r="U339" s="63">
        <f t="shared" si="214"/>
        <v>843.66666666666663</v>
      </c>
      <c r="V339" s="111">
        <f t="shared" si="215"/>
        <v>76773.666666666657</v>
      </c>
      <c r="W339" s="64">
        <f t="shared" si="216"/>
        <v>856.66666666666663</v>
      </c>
      <c r="X339" s="66">
        <f t="shared" si="217"/>
        <v>313540</v>
      </c>
    </row>
    <row r="340" spans="1:24" ht="16.5" thickBot="1" x14ac:dyDescent="0.3">
      <c r="A340" s="50" t="s">
        <v>137</v>
      </c>
      <c r="B340" s="34"/>
      <c r="C340" s="5">
        <v>18</v>
      </c>
      <c r="D340" s="5">
        <v>18</v>
      </c>
      <c r="E340" s="5">
        <v>18</v>
      </c>
      <c r="F340" s="63">
        <f t="shared" si="208"/>
        <v>18</v>
      </c>
      <c r="G340" s="108">
        <f t="shared" si="209"/>
        <v>1656</v>
      </c>
      <c r="H340" s="5">
        <v>18</v>
      </c>
      <c r="I340" s="5">
        <v>18</v>
      </c>
      <c r="J340" s="5">
        <v>18</v>
      </c>
      <c r="K340" s="63">
        <f t="shared" si="210"/>
        <v>18</v>
      </c>
      <c r="L340" s="108">
        <f t="shared" si="211"/>
        <v>1656</v>
      </c>
      <c r="M340" s="5">
        <v>18</v>
      </c>
      <c r="N340" s="75">
        <v>17</v>
      </c>
      <c r="O340" s="75">
        <v>17</v>
      </c>
      <c r="P340" s="63">
        <f t="shared" si="212"/>
        <v>17.333333333333332</v>
      </c>
      <c r="Q340" s="108">
        <f t="shared" si="213"/>
        <v>1577.3333333333333</v>
      </c>
      <c r="R340" s="5">
        <v>17</v>
      </c>
      <c r="S340" s="75">
        <v>17</v>
      </c>
      <c r="T340" s="76">
        <v>17</v>
      </c>
      <c r="U340" s="63">
        <f t="shared" si="214"/>
        <v>17</v>
      </c>
      <c r="V340" s="112">
        <f t="shared" si="215"/>
        <v>1547</v>
      </c>
      <c r="W340" s="64">
        <f t="shared" si="216"/>
        <v>17.583333333333332</v>
      </c>
      <c r="X340" s="66">
        <f t="shared" si="217"/>
        <v>6435.5</v>
      </c>
    </row>
    <row r="341" spans="1:24" ht="16.5" thickBot="1" x14ac:dyDescent="0.3">
      <c r="A341" s="53" t="s">
        <v>141</v>
      </c>
      <c r="B341" s="37"/>
      <c r="C341" s="80">
        <f>SUM(C335:C340)</f>
        <v>1656</v>
      </c>
      <c r="D341" s="80">
        <f>SUM(D335:D340)</f>
        <v>1607</v>
      </c>
      <c r="E341" s="80">
        <f>SUM(E335:E340)</f>
        <v>1660</v>
      </c>
      <c r="F341" s="68">
        <f t="shared" si="208"/>
        <v>1641</v>
      </c>
      <c r="G341" s="108">
        <f t="shared" si="209"/>
        <v>150972</v>
      </c>
      <c r="H341" s="94">
        <f>SUM(H335:H340)</f>
        <v>1689</v>
      </c>
      <c r="I341" s="80">
        <f>SUM(I335:I340)</f>
        <v>1715</v>
      </c>
      <c r="J341" s="80">
        <f>SUM(J335:J340)</f>
        <v>1679</v>
      </c>
      <c r="K341" s="68">
        <f t="shared" si="210"/>
        <v>1694.3333333333333</v>
      </c>
      <c r="L341" s="119">
        <f t="shared" si="211"/>
        <v>155878.66666666666</v>
      </c>
      <c r="M341" s="94">
        <f>SUM(M335:M340)</f>
        <v>1697</v>
      </c>
      <c r="N341" s="80">
        <f>SUM(N335:N340)</f>
        <v>1701</v>
      </c>
      <c r="O341" s="80">
        <f>SUM(O335:O340)</f>
        <v>1680</v>
      </c>
      <c r="P341" s="68">
        <f t="shared" si="212"/>
        <v>1692.6666666666667</v>
      </c>
      <c r="Q341" s="108">
        <f t="shared" si="213"/>
        <v>154032.66666666669</v>
      </c>
      <c r="R341" s="94">
        <f>SUM(R335:R340)</f>
        <v>1688</v>
      </c>
      <c r="S341" s="80">
        <f>SUM(S335:S340)</f>
        <v>1677</v>
      </c>
      <c r="T341" s="81">
        <f>SUM(T335:T340)</f>
        <v>1657</v>
      </c>
      <c r="U341" s="68">
        <f t="shared" si="214"/>
        <v>1674</v>
      </c>
      <c r="V341" s="120">
        <f t="shared" si="215"/>
        <v>152334</v>
      </c>
      <c r="W341" s="69">
        <f>SUM(W335:W340)</f>
        <v>1675.4999999999998</v>
      </c>
      <c r="X341" s="69">
        <f>SUM(X335:X340)</f>
        <v>613233</v>
      </c>
    </row>
    <row r="342" spans="1:24" ht="16.5" thickBot="1" x14ac:dyDescent="0.3">
      <c r="A342" s="54" t="s">
        <v>145</v>
      </c>
      <c r="B342" s="38"/>
      <c r="C342" s="80">
        <f>C333+C341</f>
        <v>5280.5999999999985</v>
      </c>
      <c r="D342" s="80">
        <f>D333+D341</f>
        <v>5327.4250000000002</v>
      </c>
      <c r="E342" s="80">
        <f>E333+E341</f>
        <v>5377.6900000000005</v>
      </c>
      <c r="F342" s="80">
        <f>F333+F341</f>
        <v>5328.5716666666667</v>
      </c>
      <c r="G342" s="68">
        <f>SUM(G333+G341)</f>
        <v>490228.59333333332</v>
      </c>
      <c r="H342" s="80">
        <f>H333+H341</f>
        <v>5382.3520000000008</v>
      </c>
      <c r="I342" s="80">
        <f>I333+I341</f>
        <v>5474.1569999999992</v>
      </c>
      <c r="J342" s="80">
        <f>J333+J341</f>
        <v>5397.3159999999998</v>
      </c>
      <c r="K342" s="120">
        <f t="shared" si="210"/>
        <v>5417.9416666666666</v>
      </c>
      <c r="L342" s="68">
        <f>SUM(L333+L341)</f>
        <v>498450.6333333333</v>
      </c>
      <c r="M342" s="94">
        <f>M333+M341</f>
        <v>5421.232</v>
      </c>
      <c r="N342" s="80">
        <f>N333+N341</f>
        <v>5405.0769999999993</v>
      </c>
      <c r="O342" s="80">
        <f>O333+O341</f>
        <v>5400.6910000000007</v>
      </c>
      <c r="P342" s="99">
        <f t="shared" si="212"/>
        <v>5409</v>
      </c>
      <c r="Q342" s="68">
        <f>SUM(Q333+Q341)</f>
        <v>492219.00000000006</v>
      </c>
      <c r="R342" s="94">
        <f>R333+R341</f>
        <v>5392.86</v>
      </c>
      <c r="S342" s="80">
        <f>S333+S341</f>
        <v>5399.0740000000005</v>
      </c>
      <c r="T342" s="81">
        <f>T333+T341</f>
        <v>5332.18</v>
      </c>
      <c r="U342" s="99">
        <f t="shared" si="214"/>
        <v>5374.7046666666674</v>
      </c>
      <c r="V342" s="68">
        <f>SUM(V333+V341)</f>
        <v>489098.12466666667</v>
      </c>
      <c r="W342" s="80">
        <f>W333+W341</f>
        <v>5382.5545000000002</v>
      </c>
      <c r="X342" s="82">
        <f>X333+X341</f>
        <v>1970014.9470000002</v>
      </c>
    </row>
    <row r="343" spans="1:24" ht="15.75" x14ac:dyDescent="0.25">
      <c r="A343" s="114"/>
      <c r="B343" s="19"/>
      <c r="C343" s="115"/>
      <c r="D343" s="115"/>
      <c r="E343" s="115"/>
      <c r="F343" s="115"/>
      <c r="G343" s="113"/>
      <c r="H343" s="115"/>
      <c r="I343" s="115"/>
      <c r="J343" s="115"/>
      <c r="K343" s="139"/>
      <c r="L343" s="113"/>
      <c r="M343" s="115"/>
      <c r="N343" s="115"/>
      <c r="O343" s="115"/>
      <c r="P343" s="93"/>
      <c r="Q343" s="113"/>
      <c r="R343" s="115"/>
      <c r="S343" s="115"/>
      <c r="T343" s="115"/>
      <c r="U343" s="93"/>
      <c r="V343" s="113"/>
      <c r="W343" s="115"/>
      <c r="X343" s="115"/>
    </row>
    <row r="345" spans="1:24" ht="16.5" thickBot="1" x14ac:dyDescent="0.25">
      <c r="A345" s="45" t="s">
        <v>144</v>
      </c>
      <c r="B345" s="10"/>
      <c r="C345" s="13"/>
      <c r="D345" s="13"/>
      <c r="E345" s="13"/>
      <c r="F345" s="13"/>
      <c r="G345" s="13"/>
      <c r="H345" s="13"/>
      <c r="I345" s="13"/>
      <c r="J345" s="13"/>
      <c r="K345" s="13"/>
      <c r="L345" s="13"/>
      <c r="M345" s="13"/>
      <c r="N345" s="13"/>
      <c r="O345" s="13"/>
      <c r="P345" s="13"/>
      <c r="Q345" s="13"/>
      <c r="R345" s="13"/>
      <c r="S345" s="13"/>
      <c r="T345" s="13"/>
      <c r="U345" s="13"/>
      <c r="V345" s="13"/>
      <c r="W345" s="13"/>
      <c r="X345" s="13"/>
    </row>
    <row r="346" spans="1:24" ht="16.5" thickBot="1" x14ac:dyDescent="0.3">
      <c r="A346" s="32" t="s">
        <v>277</v>
      </c>
      <c r="B346" s="1055" t="s">
        <v>142</v>
      </c>
      <c r="C346" s="1060"/>
      <c r="D346" s="1060"/>
      <c r="E346" s="1060"/>
      <c r="F346" s="1060"/>
      <c r="G346" s="1060"/>
      <c r="H346" s="1060"/>
      <c r="I346" s="1060"/>
      <c r="J346" s="1060"/>
      <c r="K346" s="1060"/>
      <c r="L346" s="1060"/>
      <c r="M346" s="1060"/>
      <c r="N346" s="1060"/>
      <c r="O346" s="1060"/>
      <c r="P346" s="1060"/>
      <c r="Q346" s="1060"/>
      <c r="R346" s="1060"/>
      <c r="S346" s="1060"/>
      <c r="T346" s="1060"/>
      <c r="U346" s="39"/>
      <c r="V346" s="39"/>
      <c r="W346" s="92"/>
      <c r="X346" s="13"/>
    </row>
    <row r="347" spans="1:24" ht="15.75" x14ac:dyDescent="0.25">
      <c r="A347" s="11"/>
      <c r="B347" s="40" t="s">
        <v>245</v>
      </c>
      <c r="C347" s="57"/>
      <c r="D347" s="58"/>
      <c r="E347" s="58"/>
      <c r="F347" s="1047" t="s">
        <v>242</v>
      </c>
      <c r="G347" s="1039" t="s">
        <v>262</v>
      </c>
      <c r="H347" s="58"/>
      <c r="I347" s="58"/>
      <c r="J347" s="58"/>
      <c r="K347" s="1047" t="s">
        <v>242</v>
      </c>
      <c r="L347" s="1039" t="s">
        <v>262</v>
      </c>
      <c r="M347" s="58"/>
      <c r="N347" s="58"/>
      <c r="O347" s="58"/>
      <c r="P347" s="1047" t="s">
        <v>242</v>
      </c>
      <c r="Q347" s="1039" t="s">
        <v>262</v>
      </c>
      <c r="R347" s="58"/>
      <c r="S347" s="58"/>
      <c r="T347" s="59"/>
      <c r="U347" s="1047" t="s">
        <v>242</v>
      </c>
      <c r="V347" s="1039" t="s">
        <v>262</v>
      </c>
      <c r="W347" s="1041" t="s">
        <v>143</v>
      </c>
      <c r="X347" s="1043" t="s">
        <v>144</v>
      </c>
    </row>
    <row r="348" spans="1:24" ht="15.75" customHeight="1" thickBot="1" x14ac:dyDescent="0.3">
      <c r="A348" s="47" t="s">
        <v>55</v>
      </c>
      <c r="B348" s="41" t="s">
        <v>246</v>
      </c>
      <c r="C348" s="60">
        <v>38904</v>
      </c>
      <c r="D348" s="61">
        <v>38935</v>
      </c>
      <c r="E348" s="61">
        <v>38966</v>
      </c>
      <c r="F348" s="1048"/>
      <c r="G348" s="1057"/>
      <c r="H348" s="61">
        <v>38996</v>
      </c>
      <c r="I348" s="61">
        <v>39027</v>
      </c>
      <c r="J348" s="61">
        <v>39057</v>
      </c>
      <c r="K348" s="1057"/>
      <c r="L348" s="1057"/>
      <c r="M348" s="61">
        <v>39083</v>
      </c>
      <c r="N348" s="61">
        <v>39114</v>
      </c>
      <c r="O348" s="61">
        <v>39142</v>
      </c>
      <c r="P348" s="1057"/>
      <c r="Q348" s="1057"/>
      <c r="R348" s="61">
        <v>39179</v>
      </c>
      <c r="S348" s="61">
        <v>39203</v>
      </c>
      <c r="T348" s="62">
        <v>39234</v>
      </c>
      <c r="U348" s="1057"/>
      <c r="V348" s="1057"/>
      <c r="W348" s="1057"/>
      <c r="X348" s="1057"/>
    </row>
    <row r="349" spans="1:24" ht="32.25" customHeight="1" thickBot="1" x14ac:dyDescent="0.3">
      <c r="A349" s="48" t="s">
        <v>275</v>
      </c>
      <c r="B349" s="42" t="s">
        <v>247</v>
      </c>
      <c r="C349" s="125">
        <v>507.61</v>
      </c>
      <c r="D349" s="125">
        <v>517.41999999999996</v>
      </c>
      <c r="E349" s="117">
        <v>502.5</v>
      </c>
      <c r="F349" s="63">
        <f t="shared" ref="F349:F363" si="218">SUM(C349:E349)/3</f>
        <v>509.17666666666668</v>
      </c>
      <c r="G349" s="108">
        <f t="shared" ref="G349:G363" si="219">F349*92</f>
        <v>46844.253333333334</v>
      </c>
      <c r="H349" s="117">
        <v>517.05999999999995</v>
      </c>
      <c r="I349" s="117">
        <v>478.57</v>
      </c>
      <c r="J349" s="117">
        <v>473.52</v>
      </c>
      <c r="K349" s="63">
        <f t="shared" ref="K349:K363" si="220">SUM(H349:J349)/3</f>
        <v>489.71666666666664</v>
      </c>
      <c r="L349" s="108">
        <f t="shared" ref="L349:L363" si="221">K349*92</f>
        <v>45053.933333333334</v>
      </c>
      <c r="M349" s="117">
        <v>492.71</v>
      </c>
      <c r="N349" s="85">
        <v>477.46</v>
      </c>
      <c r="O349" s="85">
        <v>479.58</v>
      </c>
      <c r="P349" s="63">
        <f t="shared" ref="P349:P363" si="222">SUM(M349:O349)/3</f>
        <v>483.25</v>
      </c>
      <c r="Q349" s="108">
        <f t="shared" ref="Q349:Q361" si="223">P349*90</f>
        <v>43492.5</v>
      </c>
      <c r="R349" s="117">
        <v>502.57</v>
      </c>
      <c r="S349" s="85">
        <v>505.87</v>
      </c>
      <c r="T349" s="135">
        <v>514.29999999999995</v>
      </c>
      <c r="U349" s="63">
        <f t="shared" ref="U349:U363" si="224">SUM(R349:T349)/3</f>
        <v>507.58</v>
      </c>
      <c r="V349" s="111">
        <f t="shared" ref="V349:V363" si="225">U349*91</f>
        <v>46189.78</v>
      </c>
      <c r="W349" s="64">
        <f t="shared" ref="W349:W363" si="226">SUM(C349+D349+E349+H349+I349+J349+M349+N349+O349+R349+S349+T349)/12</f>
        <v>497.43083333333334</v>
      </c>
      <c r="X349" s="65">
        <f>W349*365</f>
        <v>181562.25416666668</v>
      </c>
    </row>
    <row r="350" spans="1:24" ht="16.5" thickBot="1" x14ac:dyDescent="0.3">
      <c r="A350" s="49" t="s">
        <v>127</v>
      </c>
      <c r="B350" s="43" t="s">
        <v>248</v>
      </c>
      <c r="C350" s="126">
        <v>92.483999999999995</v>
      </c>
      <c r="D350" s="126">
        <v>96.77</v>
      </c>
      <c r="E350" s="118">
        <v>100.47</v>
      </c>
      <c r="F350" s="63">
        <f t="shared" si="218"/>
        <v>96.574666666666658</v>
      </c>
      <c r="G350" s="108">
        <f t="shared" si="219"/>
        <v>8884.8693333333322</v>
      </c>
      <c r="H350" s="118">
        <v>115.61</v>
      </c>
      <c r="I350" s="118">
        <v>106.2</v>
      </c>
      <c r="J350" s="118">
        <v>105.32</v>
      </c>
      <c r="K350" s="63">
        <f t="shared" si="220"/>
        <v>109.04333333333334</v>
      </c>
      <c r="L350" s="108">
        <f t="shared" si="221"/>
        <v>10031.986666666668</v>
      </c>
      <c r="M350" s="118">
        <v>109.97</v>
      </c>
      <c r="N350" s="86">
        <v>117.71</v>
      </c>
      <c r="O350" s="86">
        <v>109.81</v>
      </c>
      <c r="P350" s="63">
        <f t="shared" si="222"/>
        <v>112.49666666666667</v>
      </c>
      <c r="Q350" s="108">
        <f t="shared" si="223"/>
        <v>10124.700000000001</v>
      </c>
      <c r="R350" s="118">
        <v>115.3</v>
      </c>
      <c r="S350" s="86">
        <v>104.58</v>
      </c>
      <c r="T350" s="89">
        <v>102.43</v>
      </c>
      <c r="U350" s="63">
        <f t="shared" si="224"/>
        <v>107.43666666666667</v>
      </c>
      <c r="V350" s="111">
        <f t="shared" si="225"/>
        <v>9776.7366666666676</v>
      </c>
      <c r="W350" s="64">
        <f t="shared" si="226"/>
        <v>106.38783333333333</v>
      </c>
      <c r="X350" s="65">
        <f>W350*365</f>
        <v>38831.559166666666</v>
      </c>
    </row>
    <row r="351" spans="1:24" ht="16.5" thickBot="1" x14ac:dyDescent="0.3">
      <c r="A351" s="50" t="s">
        <v>276</v>
      </c>
      <c r="B351" s="44" t="s">
        <v>249</v>
      </c>
      <c r="C351" s="4">
        <v>443.39</v>
      </c>
      <c r="D351" s="4">
        <v>463.68</v>
      </c>
      <c r="E351" s="3">
        <v>472.6</v>
      </c>
      <c r="F351" s="63">
        <f t="shared" si="218"/>
        <v>459.89000000000004</v>
      </c>
      <c r="G351" s="108">
        <f t="shared" si="219"/>
        <v>42309.880000000005</v>
      </c>
      <c r="H351" s="3">
        <v>474.42</v>
      </c>
      <c r="I351" s="3">
        <v>468.67</v>
      </c>
      <c r="J351" s="3">
        <v>467.94</v>
      </c>
      <c r="K351" s="63">
        <f t="shared" si="220"/>
        <v>470.34333333333331</v>
      </c>
      <c r="L351" s="108">
        <f t="shared" si="221"/>
        <v>43271.586666666662</v>
      </c>
      <c r="M351" s="3">
        <v>473.52</v>
      </c>
      <c r="N351" s="87">
        <v>467.43</v>
      </c>
      <c r="O351" s="87">
        <v>469.32</v>
      </c>
      <c r="P351" s="63">
        <f t="shared" si="222"/>
        <v>470.09</v>
      </c>
      <c r="Q351" s="108">
        <f t="shared" si="223"/>
        <v>42308.1</v>
      </c>
      <c r="R351" s="3">
        <v>477.13</v>
      </c>
      <c r="S351" s="87">
        <v>481.65</v>
      </c>
      <c r="T351" s="90">
        <v>481.73</v>
      </c>
      <c r="U351" s="63">
        <f t="shared" si="224"/>
        <v>480.17</v>
      </c>
      <c r="V351" s="111">
        <f t="shared" si="225"/>
        <v>43695.47</v>
      </c>
      <c r="W351" s="64">
        <f t="shared" si="226"/>
        <v>470.12333333333328</v>
      </c>
      <c r="X351" s="66">
        <f t="shared" ref="X351:X370" si="227">W351*365</f>
        <v>171595.01666666663</v>
      </c>
    </row>
    <row r="352" spans="1:24" ht="16.5" thickBot="1" x14ac:dyDescent="0.3">
      <c r="A352" s="50" t="s">
        <v>24</v>
      </c>
      <c r="B352" s="44" t="s">
        <v>250</v>
      </c>
      <c r="C352" s="4">
        <v>323.45</v>
      </c>
      <c r="D352" s="4">
        <v>320.61</v>
      </c>
      <c r="E352" s="3">
        <v>305.67</v>
      </c>
      <c r="F352" s="63">
        <f t="shared" si="218"/>
        <v>316.57666666666665</v>
      </c>
      <c r="G352" s="108">
        <f t="shared" si="219"/>
        <v>29125.053333333333</v>
      </c>
      <c r="H352" s="3">
        <v>295</v>
      </c>
      <c r="I352" s="3">
        <v>285.23</v>
      </c>
      <c r="J352" s="3">
        <v>263.48</v>
      </c>
      <c r="K352" s="63">
        <f t="shared" si="220"/>
        <v>281.23666666666668</v>
      </c>
      <c r="L352" s="108">
        <f t="shared" si="221"/>
        <v>25873.773333333334</v>
      </c>
      <c r="M352" s="3">
        <v>263.19</v>
      </c>
      <c r="N352" s="87">
        <v>241.18</v>
      </c>
      <c r="O352" s="87">
        <v>239.06</v>
      </c>
      <c r="P352" s="63">
        <f t="shared" si="222"/>
        <v>247.81000000000003</v>
      </c>
      <c r="Q352" s="108">
        <f t="shared" si="223"/>
        <v>22302.9</v>
      </c>
      <c r="R352" s="3">
        <v>254.13</v>
      </c>
      <c r="S352" s="87">
        <v>265.87</v>
      </c>
      <c r="T352" s="90">
        <v>273</v>
      </c>
      <c r="U352" s="63">
        <f t="shared" si="224"/>
        <v>264.33333333333331</v>
      </c>
      <c r="V352" s="111">
        <f t="shared" si="225"/>
        <v>24054.333333333332</v>
      </c>
      <c r="W352" s="64">
        <f t="shared" si="226"/>
        <v>277.48916666666668</v>
      </c>
      <c r="X352" s="66">
        <f t="shared" si="227"/>
        <v>101283.54583333334</v>
      </c>
    </row>
    <row r="353" spans="1:24" ht="16.5" thickBot="1" x14ac:dyDescent="0.3">
      <c r="A353" s="51" t="s">
        <v>259</v>
      </c>
      <c r="B353" s="44" t="s">
        <v>251</v>
      </c>
      <c r="C353" s="4">
        <v>359.67</v>
      </c>
      <c r="D353" s="4">
        <v>299.35000000000002</v>
      </c>
      <c r="E353" s="3">
        <v>313.17</v>
      </c>
      <c r="F353" s="63">
        <f t="shared" si="218"/>
        <v>324.06333333333333</v>
      </c>
      <c r="G353" s="108">
        <f t="shared" si="219"/>
        <v>29813.826666666668</v>
      </c>
      <c r="H353" s="3">
        <v>306.02999999999997</v>
      </c>
      <c r="I353" s="3">
        <v>314.23</v>
      </c>
      <c r="J353" s="3">
        <v>312.77</v>
      </c>
      <c r="K353" s="63">
        <f t="shared" si="220"/>
        <v>311.01</v>
      </c>
      <c r="L353" s="108">
        <f t="shared" si="221"/>
        <v>28612.92</v>
      </c>
      <c r="M353" s="3">
        <v>320.89999999999998</v>
      </c>
      <c r="N353" s="87">
        <v>318.82</v>
      </c>
      <c r="O353" s="87">
        <v>332.1</v>
      </c>
      <c r="P353" s="63">
        <f t="shared" si="222"/>
        <v>323.94</v>
      </c>
      <c r="Q353" s="108">
        <f t="shared" si="223"/>
        <v>29154.6</v>
      </c>
      <c r="R353" s="3">
        <v>363.8</v>
      </c>
      <c r="S353" s="87">
        <v>365.42</v>
      </c>
      <c r="T353" s="90">
        <v>372.17</v>
      </c>
      <c r="U353" s="63">
        <f t="shared" si="224"/>
        <v>367.13000000000005</v>
      </c>
      <c r="V353" s="111">
        <f t="shared" si="225"/>
        <v>33408.83</v>
      </c>
      <c r="W353" s="64">
        <f t="shared" si="226"/>
        <v>331.53583333333336</v>
      </c>
      <c r="X353" s="66">
        <f t="shared" si="227"/>
        <v>121010.57916666668</v>
      </c>
    </row>
    <row r="354" spans="1:24" ht="16.5" thickBot="1" x14ac:dyDescent="0.3">
      <c r="A354" s="50" t="s">
        <v>15</v>
      </c>
      <c r="B354" s="44" t="s">
        <v>252</v>
      </c>
      <c r="C354" s="4">
        <v>64.483999999999995</v>
      </c>
      <c r="D354" s="4">
        <v>60.548000000000002</v>
      </c>
      <c r="E354" s="3">
        <v>58.366999999999997</v>
      </c>
      <c r="F354" s="63">
        <f t="shared" si="218"/>
        <v>61.133000000000003</v>
      </c>
      <c r="G354" s="108">
        <f t="shared" si="219"/>
        <v>5624.2359999999999</v>
      </c>
      <c r="H354" s="3">
        <v>65.77</v>
      </c>
      <c r="I354" s="3">
        <v>57.567</v>
      </c>
      <c r="J354" s="3">
        <v>57.677</v>
      </c>
      <c r="K354" s="63">
        <f t="shared" si="220"/>
        <v>60.337999999999994</v>
      </c>
      <c r="L354" s="108">
        <f t="shared" si="221"/>
        <v>5551.0959999999995</v>
      </c>
      <c r="M354" s="3">
        <v>61.805999999999997</v>
      </c>
      <c r="N354" s="87">
        <v>65.070999999999998</v>
      </c>
      <c r="O354" s="87">
        <v>55.387</v>
      </c>
      <c r="P354" s="63">
        <f t="shared" si="222"/>
        <v>60.754666666666672</v>
      </c>
      <c r="Q354" s="108">
        <f t="shared" si="223"/>
        <v>5467.92</v>
      </c>
      <c r="R354" s="3">
        <v>56.2</v>
      </c>
      <c r="S354" s="87">
        <v>53.935000000000002</v>
      </c>
      <c r="T354" s="90">
        <v>55.23</v>
      </c>
      <c r="U354" s="63">
        <f t="shared" si="224"/>
        <v>55.12166666666667</v>
      </c>
      <c r="V354" s="111">
        <f t="shared" si="225"/>
        <v>5016.0716666666667</v>
      </c>
      <c r="W354" s="64">
        <f t="shared" si="226"/>
        <v>59.336833333333324</v>
      </c>
      <c r="X354" s="66">
        <f t="shared" si="227"/>
        <v>21657.944166666664</v>
      </c>
    </row>
    <row r="355" spans="1:24" ht="16.5" thickBot="1" x14ac:dyDescent="0.3">
      <c r="A355" s="50" t="s">
        <v>16</v>
      </c>
      <c r="B355" s="44" t="s">
        <v>253</v>
      </c>
      <c r="C355" s="4">
        <v>199.55</v>
      </c>
      <c r="D355" s="4">
        <v>192.71</v>
      </c>
      <c r="E355" s="3">
        <v>183.87</v>
      </c>
      <c r="F355" s="63">
        <f t="shared" si="218"/>
        <v>192.04333333333332</v>
      </c>
      <c r="G355" s="108">
        <f t="shared" si="219"/>
        <v>17667.986666666664</v>
      </c>
      <c r="H355" s="3">
        <v>176.84</v>
      </c>
      <c r="I355" s="3">
        <v>179.1</v>
      </c>
      <c r="J355" s="3">
        <v>194.06</v>
      </c>
      <c r="K355" s="63">
        <f t="shared" si="220"/>
        <v>183.33333333333334</v>
      </c>
      <c r="L355" s="108">
        <f t="shared" si="221"/>
        <v>16866.666666666668</v>
      </c>
      <c r="M355" s="3">
        <v>190.84</v>
      </c>
      <c r="N355" s="87">
        <v>199.21</v>
      </c>
      <c r="O355" s="87">
        <v>197.65</v>
      </c>
      <c r="P355" s="63">
        <f t="shared" si="222"/>
        <v>195.9</v>
      </c>
      <c r="Q355" s="108">
        <f t="shared" si="223"/>
        <v>17631</v>
      </c>
      <c r="R355" s="3">
        <v>201.2</v>
      </c>
      <c r="S355" s="87">
        <v>195.71</v>
      </c>
      <c r="T355" s="90">
        <v>197.03</v>
      </c>
      <c r="U355" s="63">
        <f t="shared" si="224"/>
        <v>197.98</v>
      </c>
      <c r="V355" s="111">
        <f t="shared" si="225"/>
        <v>18016.18</v>
      </c>
      <c r="W355" s="64">
        <f t="shared" si="226"/>
        <v>192.31416666666669</v>
      </c>
      <c r="X355" s="66">
        <f t="shared" si="227"/>
        <v>70194.670833333337</v>
      </c>
    </row>
    <row r="356" spans="1:24" ht="16.5" thickBot="1" x14ac:dyDescent="0.3">
      <c r="A356" s="50" t="s">
        <v>129</v>
      </c>
      <c r="B356" s="44" t="s">
        <v>254</v>
      </c>
      <c r="C356" s="4">
        <v>102.81</v>
      </c>
      <c r="D356" s="4">
        <v>98.903000000000006</v>
      </c>
      <c r="E356" s="3">
        <v>101.5</v>
      </c>
      <c r="F356" s="63">
        <f t="shared" si="218"/>
        <v>101.07100000000001</v>
      </c>
      <c r="G356" s="108">
        <f t="shared" si="219"/>
        <v>9298.5320000000011</v>
      </c>
      <c r="H356" s="3">
        <v>103.55</v>
      </c>
      <c r="I356" s="3">
        <v>106.7</v>
      </c>
      <c r="J356" s="3">
        <v>103.48</v>
      </c>
      <c r="K356" s="63">
        <f t="shared" si="220"/>
        <v>104.57666666666667</v>
      </c>
      <c r="L356" s="108">
        <f t="shared" si="221"/>
        <v>9621.0533333333333</v>
      </c>
      <c r="M356" s="3">
        <v>101.48</v>
      </c>
      <c r="N356" s="87">
        <v>103.5</v>
      </c>
      <c r="O356" s="87">
        <v>100.81</v>
      </c>
      <c r="P356" s="63">
        <f t="shared" si="222"/>
        <v>101.93</v>
      </c>
      <c r="Q356" s="108">
        <f t="shared" si="223"/>
        <v>9173.7000000000007</v>
      </c>
      <c r="R356" s="3">
        <v>109.47</v>
      </c>
      <c r="S356" s="87">
        <v>112.61</v>
      </c>
      <c r="T356" s="90">
        <v>117.97</v>
      </c>
      <c r="U356" s="63">
        <f t="shared" si="224"/>
        <v>113.34999999999998</v>
      </c>
      <c r="V356" s="111">
        <f t="shared" si="225"/>
        <v>10314.849999999999</v>
      </c>
      <c r="W356" s="64">
        <f t="shared" si="226"/>
        <v>105.23191666666668</v>
      </c>
      <c r="X356" s="66">
        <f t="shared" si="227"/>
        <v>38409.649583333339</v>
      </c>
    </row>
    <row r="357" spans="1:24" ht="16.5" thickBot="1" x14ac:dyDescent="0.3">
      <c r="A357" s="51" t="s">
        <v>260</v>
      </c>
      <c r="B357" s="44" t="s">
        <v>255</v>
      </c>
      <c r="C357" s="4">
        <v>405.03</v>
      </c>
      <c r="D357" s="4">
        <v>407.71</v>
      </c>
      <c r="E357" s="3">
        <v>378.97</v>
      </c>
      <c r="F357" s="63">
        <f t="shared" si="218"/>
        <v>397.23666666666668</v>
      </c>
      <c r="G357" s="108">
        <f t="shared" si="219"/>
        <v>36545.773333333331</v>
      </c>
      <c r="H357" s="3">
        <v>400.51</v>
      </c>
      <c r="I357" s="3">
        <v>396.7</v>
      </c>
      <c r="J357" s="3">
        <v>371.91</v>
      </c>
      <c r="K357" s="63">
        <f t="shared" si="220"/>
        <v>389.70666666666671</v>
      </c>
      <c r="L357" s="108">
        <f t="shared" si="221"/>
        <v>35853.013333333336</v>
      </c>
      <c r="M357" s="3">
        <v>371.29</v>
      </c>
      <c r="N357" s="87">
        <v>385.57</v>
      </c>
      <c r="O357" s="87">
        <v>384</v>
      </c>
      <c r="P357" s="63">
        <f t="shared" si="222"/>
        <v>380.28666666666669</v>
      </c>
      <c r="Q357" s="108">
        <f t="shared" si="223"/>
        <v>34225.800000000003</v>
      </c>
      <c r="R357" s="3">
        <v>393.83</v>
      </c>
      <c r="S357" s="87">
        <v>409.32</v>
      </c>
      <c r="T357" s="90">
        <v>404.84</v>
      </c>
      <c r="U357" s="63">
        <f t="shared" si="224"/>
        <v>402.66333333333336</v>
      </c>
      <c r="V357" s="111">
        <f t="shared" si="225"/>
        <v>36642.363333333335</v>
      </c>
      <c r="W357" s="64">
        <f t="shared" si="226"/>
        <v>392.47333333333336</v>
      </c>
      <c r="X357" s="66">
        <f t="shared" si="227"/>
        <v>143252.76666666666</v>
      </c>
    </row>
    <row r="358" spans="1:24" ht="16.5" thickBot="1" x14ac:dyDescent="0.3">
      <c r="A358" s="50" t="s">
        <v>138</v>
      </c>
      <c r="B358" s="121" t="s">
        <v>263</v>
      </c>
      <c r="C358" s="4">
        <v>111.61</v>
      </c>
      <c r="D358" s="4">
        <v>106.68</v>
      </c>
      <c r="E358" s="3">
        <v>104.57</v>
      </c>
      <c r="F358" s="63">
        <f t="shared" si="218"/>
        <v>107.62</v>
      </c>
      <c r="G358" s="108">
        <f t="shared" si="219"/>
        <v>9901.0400000000009</v>
      </c>
      <c r="H358" s="3">
        <v>94.742000000000004</v>
      </c>
      <c r="I358" s="3">
        <v>79.900000000000006</v>
      </c>
      <c r="J358" s="3">
        <v>83.129000000000005</v>
      </c>
      <c r="K358" s="63">
        <f t="shared" si="220"/>
        <v>85.923666666666676</v>
      </c>
      <c r="L358" s="108">
        <f t="shared" si="221"/>
        <v>7904.9773333333342</v>
      </c>
      <c r="M358" s="3">
        <v>110.32</v>
      </c>
      <c r="N358" s="87">
        <v>114.39</v>
      </c>
      <c r="O358" s="87">
        <v>119.9</v>
      </c>
      <c r="P358" s="63">
        <f t="shared" si="222"/>
        <v>114.87</v>
      </c>
      <c r="Q358" s="108">
        <f t="shared" si="223"/>
        <v>10338.300000000001</v>
      </c>
      <c r="R358" s="3">
        <v>121.27</v>
      </c>
      <c r="S358" s="87">
        <v>123.74</v>
      </c>
      <c r="T358" s="90">
        <v>120.17</v>
      </c>
      <c r="U358" s="63">
        <f t="shared" si="224"/>
        <v>121.72666666666667</v>
      </c>
      <c r="V358" s="111">
        <f t="shared" si="225"/>
        <v>11077.126666666667</v>
      </c>
      <c r="W358" s="64">
        <f t="shared" si="226"/>
        <v>107.53508333333333</v>
      </c>
      <c r="X358" s="66">
        <f>W358*365</f>
        <v>39250.30541666667</v>
      </c>
    </row>
    <row r="359" spans="1:24" ht="16.5" thickBot="1" x14ac:dyDescent="0.3">
      <c r="A359" s="49" t="s">
        <v>19</v>
      </c>
      <c r="B359" s="43" t="s">
        <v>256</v>
      </c>
      <c r="C359" s="126">
        <v>496.81</v>
      </c>
      <c r="D359" s="126">
        <v>473.74</v>
      </c>
      <c r="E359" s="118">
        <v>483.67</v>
      </c>
      <c r="F359" s="63">
        <f t="shared" si="218"/>
        <v>484.74</v>
      </c>
      <c r="G359" s="108">
        <f t="shared" si="219"/>
        <v>44596.08</v>
      </c>
      <c r="H359" s="118">
        <v>501.23</v>
      </c>
      <c r="I359" s="3">
        <v>467.27</v>
      </c>
      <c r="J359" s="118">
        <v>470.42</v>
      </c>
      <c r="K359" s="63">
        <f t="shared" si="220"/>
        <v>479.64000000000004</v>
      </c>
      <c r="L359" s="111">
        <f t="shared" si="221"/>
        <v>44126.880000000005</v>
      </c>
      <c r="M359" s="3">
        <v>425.77</v>
      </c>
      <c r="N359" s="86">
        <v>439</v>
      </c>
      <c r="O359" s="86">
        <v>450.68</v>
      </c>
      <c r="P359" s="63">
        <f t="shared" si="222"/>
        <v>438.48333333333335</v>
      </c>
      <c r="Q359" s="108">
        <f t="shared" si="223"/>
        <v>39463.5</v>
      </c>
      <c r="R359" s="3">
        <v>445.43</v>
      </c>
      <c r="S359" s="86">
        <v>503.48</v>
      </c>
      <c r="T359" s="89">
        <v>526.77</v>
      </c>
      <c r="U359" s="63">
        <f t="shared" si="224"/>
        <v>491.89333333333337</v>
      </c>
      <c r="V359" s="111">
        <f t="shared" si="225"/>
        <v>44762.293333333335</v>
      </c>
      <c r="W359" s="64">
        <f t="shared" si="226"/>
        <v>473.68916666666672</v>
      </c>
      <c r="X359" s="65">
        <f t="shared" si="227"/>
        <v>172896.54583333337</v>
      </c>
    </row>
    <row r="360" spans="1:24" ht="16.5" thickBot="1" x14ac:dyDescent="0.3">
      <c r="A360" s="51" t="s">
        <v>261</v>
      </c>
      <c r="B360" s="44" t="s">
        <v>257</v>
      </c>
      <c r="C360" s="4">
        <v>358.87</v>
      </c>
      <c r="D360" s="4">
        <v>369.74</v>
      </c>
      <c r="E360" s="3">
        <v>385.73</v>
      </c>
      <c r="F360" s="63">
        <f t="shared" si="218"/>
        <v>371.44666666666672</v>
      </c>
      <c r="G360" s="108">
        <f t="shared" si="219"/>
        <v>34173.093333333338</v>
      </c>
      <c r="H360" s="3">
        <v>359.39</v>
      </c>
      <c r="I360" s="3">
        <v>372.07</v>
      </c>
      <c r="J360" s="3">
        <v>368.88</v>
      </c>
      <c r="K360" s="63">
        <f t="shared" si="220"/>
        <v>366.78000000000003</v>
      </c>
      <c r="L360" s="108">
        <f t="shared" si="221"/>
        <v>33743.760000000002</v>
      </c>
      <c r="M360" s="3">
        <v>352.51</v>
      </c>
      <c r="N360" s="87">
        <v>360</v>
      </c>
      <c r="O360" s="87">
        <v>362.65</v>
      </c>
      <c r="P360" s="63">
        <f t="shared" si="222"/>
        <v>358.3866666666666</v>
      </c>
      <c r="Q360" s="108">
        <f t="shared" si="223"/>
        <v>32254.799999999996</v>
      </c>
      <c r="R360" s="3">
        <v>369.16</v>
      </c>
      <c r="S360" s="87">
        <v>365.25</v>
      </c>
      <c r="T360" s="90">
        <v>369.67</v>
      </c>
      <c r="U360" s="63">
        <f t="shared" si="224"/>
        <v>368.0266666666667</v>
      </c>
      <c r="V360" s="111">
        <f t="shared" si="225"/>
        <v>33490.426666666666</v>
      </c>
      <c r="W360" s="64">
        <f t="shared" si="226"/>
        <v>366.15999999999991</v>
      </c>
      <c r="X360" s="66">
        <f t="shared" si="227"/>
        <v>133648.39999999997</v>
      </c>
    </row>
    <row r="361" spans="1:24" ht="16.5" thickBot="1" x14ac:dyDescent="0.3">
      <c r="A361" s="50" t="s">
        <v>130</v>
      </c>
      <c r="B361" s="44" t="s">
        <v>258</v>
      </c>
      <c r="C361" s="4">
        <v>117.06</v>
      </c>
      <c r="D361" s="4">
        <v>110.26</v>
      </c>
      <c r="E361" s="3">
        <v>117.97</v>
      </c>
      <c r="F361" s="63">
        <f t="shared" si="218"/>
        <v>115.09666666666665</v>
      </c>
      <c r="G361" s="108">
        <f t="shared" si="219"/>
        <v>10588.893333333332</v>
      </c>
      <c r="H361" s="3">
        <v>108.48</v>
      </c>
      <c r="I361" s="3">
        <v>120.13</v>
      </c>
      <c r="J361" s="3">
        <v>112.84</v>
      </c>
      <c r="K361" s="63">
        <f t="shared" si="220"/>
        <v>113.81666666666668</v>
      </c>
      <c r="L361" s="108">
        <f t="shared" si="221"/>
        <v>10471.133333333335</v>
      </c>
      <c r="M361" s="3">
        <v>107.68</v>
      </c>
      <c r="N361" s="87">
        <v>106.43</v>
      </c>
      <c r="O361" s="87">
        <v>109.71</v>
      </c>
      <c r="P361" s="63">
        <f t="shared" si="222"/>
        <v>107.94</v>
      </c>
      <c r="Q361" s="108">
        <f t="shared" si="223"/>
        <v>9714.6</v>
      </c>
      <c r="R361" s="3">
        <v>113.83</v>
      </c>
      <c r="S361" s="87">
        <v>115.71</v>
      </c>
      <c r="T361" s="90">
        <v>106.6</v>
      </c>
      <c r="U361" s="63">
        <f t="shared" si="224"/>
        <v>112.04666666666667</v>
      </c>
      <c r="V361" s="111">
        <f t="shared" si="225"/>
        <v>10196.246666666666</v>
      </c>
      <c r="W361" s="64">
        <f t="shared" si="226"/>
        <v>112.22500000000001</v>
      </c>
      <c r="X361" s="66">
        <f t="shared" si="227"/>
        <v>40962.125</v>
      </c>
    </row>
    <row r="362" spans="1:24" ht="16.5" thickBot="1" x14ac:dyDescent="0.3">
      <c r="A362" s="50" t="s">
        <v>131</v>
      </c>
      <c r="B362" s="34"/>
      <c r="C362" s="4">
        <v>0</v>
      </c>
      <c r="D362" s="4">
        <v>0</v>
      </c>
      <c r="E362" s="4">
        <v>0</v>
      </c>
      <c r="F362" s="67">
        <f t="shared" si="218"/>
        <v>0</v>
      </c>
      <c r="G362" s="108">
        <f t="shared" si="219"/>
        <v>0</v>
      </c>
      <c r="H362" s="18">
        <v>0</v>
      </c>
      <c r="I362" s="18">
        <v>0</v>
      </c>
      <c r="J362" s="18"/>
      <c r="K362" s="67">
        <f t="shared" si="220"/>
        <v>0</v>
      </c>
      <c r="L362" s="108">
        <f t="shared" si="221"/>
        <v>0</v>
      </c>
      <c r="M362" s="18"/>
      <c r="N362" s="4"/>
      <c r="O362" s="87"/>
      <c r="P362" s="67">
        <f t="shared" si="222"/>
        <v>0</v>
      </c>
      <c r="Q362" s="108">
        <f>P362*91</f>
        <v>0</v>
      </c>
      <c r="R362" s="3"/>
      <c r="S362" s="4"/>
      <c r="T362" s="4"/>
      <c r="U362" s="67">
        <f t="shared" si="224"/>
        <v>0</v>
      </c>
      <c r="V362" s="112">
        <f t="shared" si="225"/>
        <v>0</v>
      </c>
      <c r="W362" s="137">
        <f t="shared" si="226"/>
        <v>0</v>
      </c>
      <c r="X362" s="66">
        <f>W362*365</f>
        <v>0</v>
      </c>
    </row>
    <row r="363" spans="1:24" ht="16.5" thickBot="1" x14ac:dyDescent="0.3">
      <c r="A363" s="46" t="s">
        <v>139</v>
      </c>
      <c r="B363" s="35"/>
      <c r="C363" s="80">
        <f>SUM(C349:C362)</f>
        <v>3582.828</v>
      </c>
      <c r="D363" s="80">
        <f>SUM(D349:D362)</f>
        <v>3518.1210000000001</v>
      </c>
      <c r="E363" s="80">
        <f>SUM(E349:E362)</f>
        <v>3509.0570000000002</v>
      </c>
      <c r="F363" s="68">
        <f t="shared" si="218"/>
        <v>3536.6686666666669</v>
      </c>
      <c r="G363" s="108">
        <f t="shared" si="219"/>
        <v>325373.51733333338</v>
      </c>
      <c r="H363" s="94">
        <f>SUM(H349:H362)</f>
        <v>3518.6320000000001</v>
      </c>
      <c r="I363" s="80">
        <f>SUM(I349:I362)</f>
        <v>3432.3370000000004</v>
      </c>
      <c r="J363" s="80">
        <f>SUM(J349:J362)</f>
        <v>3385.4259999999999</v>
      </c>
      <c r="K363" s="68">
        <f t="shared" si="220"/>
        <v>3445.4650000000001</v>
      </c>
      <c r="L363" s="119">
        <f t="shared" si="221"/>
        <v>316982.78000000003</v>
      </c>
      <c r="M363" s="9">
        <f>SUM(M349:M362)</f>
        <v>3381.9860000000003</v>
      </c>
      <c r="N363" s="80">
        <f>SUM(N349:N362)</f>
        <v>3395.7709999999997</v>
      </c>
      <c r="O363" s="80">
        <f>SUM(O349:O362)</f>
        <v>3410.6569999999997</v>
      </c>
      <c r="P363" s="68">
        <f t="shared" si="222"/>
        <v>3396.1379999999995</v>
      </c>
      <c r="Q363" s="119">
        <f>P363*91</f>
        <v>309048.55799999996</v>
      </c>
      <c r="R363" s="94">
        <f>SUM(R349:R362)</f>
        <v>3523.3199999999997</v>
      </c>
      <c r="S363" s="80">
        <f>SUM(S349:S362)</f>
        <v>3603.145</v>
      </c>
      <c r="T363" s="81">
        <f>SUM(T349:T362)</f>
        <v>3641.9100000000003</v>
      </c>
      <c r="U363" s="68">
        <f t="shared" si="224"/>
        <v>3589.4583333333335</v>
      </c>
      <c r="V363" s="120">
        <f t="shared" si="225"/>
        <v>326640.70833333337</v>
      </c>
      <c r="W363" s="138">
        <f t="shared" si="226"/>
        <v>3491.9325000000003</v>
      </c>
      <c r="X363" s="69">
        <f>SUM(X349:X362)</f>
        <v>1274555.3625</v>
      </c>
    </row>
    <row r="364" spans="1:24" ht="16.5" thickBot="1" x14ac:dyDescent="0.3">
      <c r="A364" s="46" t="s">
        <v>140</v>
      </c>
      <c r="B364" s="35"/>
      <c r="C364" s="70"/>
      <c r="D364" s="70"/>
      <c r="E364" s="71"/>
      <c r="F364" s="98"/>
      <c r="G364" s="98"/>
      <c r="H364" s="72"/>
      <c r="I364" s="70" t="s">
        <v>236</v>
      </c>
      <c r="J364" s="71"/>
      <c r="K364" s="97"/>
      <c r="L364" s="97"/>
      <c r="M364" s="72"/>
      <c r="N364" s="70"/>
      <c r="O364" s="71"/>
      <c r="P364" s="97"/>
      <c r="Q364" s="97"/>
      <c r="R364" s="72"/>
      <c r="S364" s="70"/>
      <c r="T364" s="71"/>
      <c r="U364" s="71"/>
      <c r="V364" s="70"/>
      <c r="W364" s="96"/>
      <c r="X364" s="69" t="s">
        <v>0</v>
      </c>
    </row>
    <row r="365" spans="1:24" ht="25.5" customHeight="1" thickBot="1" x14ac:dyDescent="0.3">
      <c r="A365" s="49" t="s">
        <v>132</v>
      </c>
      <c r="B365" s="33"/>
      <c r="C365" s="6">
        <v>507</v>
      </c>
      <c r="D365" s="6">
        <v>509</v>
      </c>
      <c r="E365" s="6">
        <v>517</v>
      </c>
      <c r="F365" s="63">
        <f t="shared" ref="F365:F371" si="228">SUM(C365:E365)/3</f>
        <v>511</v>
      </c>
      <c r="G365" s="108">
        <f t="shared" ref="G365:G371" si="229">F365*92</f>
        <v>47012</v>
      </c>
      <c r="H365" s="6">
        <v>505</v>
      </c>
      <c r="I365" s="6">
        <v>510</v>
      </c>
      <c r="J365" s="6">
        <v>477</v>
      </c>
      <c r="K365" s="63">
        <f t="shared" ref="K365:K372" si="230">SUM(H365:J365)/3</f>
        <v>497.33333333333331</v>
      </c>
      <c r="L365" s="108">
        <f t="shared" ref="L365:L371" si="231">K365*92</f>
        <v>45754.666666666664</v>
      </c>
      <c r="M365" s="6">
        <v>511</v>
      </c>
      <c r="N365" s="73">
        <v>533</v>
      </c>
      <c r="O365" s="73">
        <v>523</v>
      </c>
      <c r="P365" s="63">
        <f t="shared" ref="P365:P372" si="232">SUM(M365:O365)/3</f>
        <v>522.33333333333337</v>
      </c>
      <c r="Q365" s="108">
        <f t="shared" ref="Q365:Q371" si="233">P365*90</f>
        <v>47010</v>
      </c>
      <c r="R365" s="6">
        <v>536</v>
      </c>
      <c r="S365" s="73">
        <v>531</v>
      </c>
      <c r="T365" s="74">
        <v>531</v>
      </c>
      <c r="U365" s="63">
        <f t="shared" ref="U365:U372" si="234">SUM(R365:T365)/3</f>
        <v>532.66666666666663</v>
      </c>
      <c r="V365" s="111">
        <f t="shared" ref="V365:V371" si="235">U365*91</f>
        <v>48472.666666666664</v>
      </c>
      <c r="W365" s="64">
        <f t="shared" ref="W365:W370" si="236">SUM(C365+D365+E365+H365+I365+J365+M365+N365+O365+R365+S365+T365)/12</f>
        <v>515.83333333333337</v>
      </c>
      <c r="X365" s="65">
        <f t="shared" si="227"/>
        <v>188279.16666666669</v>
      </c>
    </row>
    <row r="366" spans="1:24" ht="16.5" thickBot="1" x14ac:dyDescent="0.3">
      <c r="A366" s="50" t="s">
        <v>133</v>
      </c>
      <c r="B366" s="34"/>
      <c r="C366" s="5">
        <v>2</v>
      </c>
      <c r="D366" s="5">
        <v>2</v>
      </c>
      <c r="E366" s="5">
        <v>3</v>
      </c>
      <c r="F366" s="63">
        <f t="shared" si="228"/>
        <v>2.3333333333333335</v>
      </c>
      <c r="G366" s="108">
        <f t="shared" si="229"/>
        <v>214.66666666666669</v>
      </c>
      <c r="H366" s="5">
        <v>3</v>
      </c>
      <c r="I366" s="5">
        <v>3</v>
      </c>
      <c r="J366" s="5">
        <v>1</v>
      </c>
      <c r="K366" s="63">
        <f t="shared" si="230"/>
        <v>2.3333333333333335</v>
      </c>
      <c r="L366" s="108">
        <f t="shared" si="231"/>
        <v>214.66666666666669</v>
      </c>
      <c r="M366" s="5">
        <v>1</v>
      </c>
      <c r="N366" s="75">
        <v>2</v>
      </c>
      <c r="O366" s="75">
        <v>2</v>
      </c>
      <c r="P366" s="63">
        <f t="shared" si="232"/>
        <v>1.6666666666666667</v>
      </c>
      <c r="Q366" s="108">
        <f t="shared" si="233"/>
        <v>150</v>
      </c>
      <c r="R366" s="5">
        <v>3</v>
      </c>
      <c r="S366" s="75">
        <v>3</v>
      </c>
      <c r="T366" s="76">
        <v>3</v>
      </c>
      <c r="U366" s="63">
        <f t="shared" si="234"/>
        <v>3</v>
      </c>
      <c r="V366" s="111">
        <f t="shared" si="235"/>
        <v>273</v>
      </c>
      <c r="W366" s="64">
        <f t="shared" si="236"/>
        <v>2.3333333333333335</v>
      </c>
      <c r="X366" s="66">
        <f t="shared" si="227"/>
        <v>851.66666666666674</v>
      </c>
    </row>
    <row r="367" spans="1:24" ht="16.5" thickBot="1" x14ac:dyDescent="0.3">
      <c r="A367" s="50" t="s">
        <v>135</v>
      </c>
      <c r="B367" s="34"/>
      <c r="C367" s="5">
        <v>29</v>
      </c>
      <c r="D367" s="5">
        <v>37</v>
      </c>
      <c r="E367" s="5">
        <v>32</v>
      </c>
      <c r="F367" s="63">
        <f t="shared" si="228"/>
        <v>32.666666666666664</v>
      </c>
      <c r="G367" s="108">
        <f t="shared" si="229"/>
        <v>3005.333333333333</v>
      </c>
      <c r="H367" s="5">
        <v>26</v>
      </c>
      <c r="I367" s="5">
        <v>24</v>
      </c>
      <c r="J367" s="5">
        <v>24</v>
      </c>
      <c r="K367" s="63">
        <f t="shared" si="230"/>
        <v>24.666666666666668</v>
      </c>
      <c r="L367" s="108">
        <f t="shared" si="231"/>
        <v>2269.3333333333335</v>
      </c>
      <c r="M367" s="5">
        <v>26</v>
      </c>
      <c r="N367" s="75">
        <v>33</v>
      </c>
      <c r="O367" s="75">
        <v>26</v>
      </c>
      <c r="P367" s="63">
        <f t="shared" si="232"/>
        <v>28.333333333333332</v>
      </c>
      <c r="Q367" s="108">
        <f t="shared" si="233"/>
        <v>2550</v>
      </c>
      <c r="R367" s="5">
        <v>27</v>
      </c>
      <c r="S367" s="75">
        <v>30</v>
      </c>
      <c r="T367" s="76">
        <v>30</v>
      </c>
      <c r="U367" s="63">
        <f t="shared" si="234"/>
        <v>29</v>
      </c>
      <c r="V367" s="111">
        <f t="shared" si="235"/>
        <v>2639</v>
      </c>
      <c r="W367" s="64">
        <f t="shared" si="236"/>
        <v>28.666666666666668</v>
      </c>
      <c r="X367" s="66">
        <f t="shared" si="227"/>
        <v>10463.333333333334</v>
      </c>
    </row>
    <row r="368" spans="1:24" ht="16.5" thickBot="1" x14ac:dyDescent="0.3">
      <c r="A368" s="50" t="s">
        <v>134</v>
      </c>
      <c r="B368" s="34"/>
      <c r="C368" s="5">
        <v>158</v>
      </c>
      <c r="D368" s="5">
        <v>164</v>
      </c>
      <c r="E368" s="5">
        <v>182</v>
      </c>
      <c r="F368" s="63">
        <f t="shared" si="228"/>
        <v>168</v>
      </c>
      <c r="G368" s="108">
        <f t="shared" si="229"/>
        <v>15456</v>
      </c>
      <c r="H368" s="5">
        <v>199</v>
      </c>
      <c r="I368" s="5">
        <v>201</v>
      </c>
      <c r="J368" s="5">
        <v>208</v>
      </c>
      <c r="K368" s="63">
        <f t="shared" si="230"/>
        <v>202.66666666666666</v>
      </c>
      <c r="L368" s="108">
        <f t="shared" si="231"/>
        <v>18645.333333333332</v>
      </c>
      <c r="M368" s="5">
        <v>195</v>
      </c>
      <c r="N368" s="75">
        <v>200</v>
      </c>
      <c r="O368" s="75">
        <v>191</v>
      </c>
      <c r="P368" s="63">
        <f t="shared" si="232"/>
        <v>195.33333333333334</v>
      </c>
      <c r="Q368" s="108">
        <f t="shared" si="233"/>
        <v>17580</v>
      </c>
      <c r="R368" s="5">
        <v>172</v>
      </c>
      <c r="S368" s="75">
        <v>183</v>
      </c>
      <c r="T368" s="76">
        <v>183</v>
      </c>
      <c r="U368" s="63">
        <f t="shared" si="234"/>
        <v>179.33333333333334</v>
      </c>
      <c r="V368" s="111">
        <f t="shared" si="235"/>
        <v>16319.333333333334</v>
      </c>
      <c r="W368" s="64">
        <f t="shared" si="236"/>
        <v>186.33333333333334</v>
      </c>
      <c r="X368" s="66">
        <f>W368*365</f>
        <v>68011.666666666672</v>
      </c>
    </row>
    <row r="369" spans="1:24" ht="16.5" thickBot="1" x14ac:dyDescent="0.3">
      <c r="A369" s="50" t="s">
        <v>136</v>
      </c>
      <c r="B369" s="34"/>
      <c r="C369" s="5">
        <v>811</v>
      </c>
      <c r="D369" s="5">
        <v>907</v>
      </c>
      <c r="E369" s="5">
        <v>924</v>
      </c>
      <c r="F369" s="63">
        <f t="shared" si="228"/>
        <v>880.66666666666663</v>
      </c>
      <c r="G369" s="108">
        <f t="shared" si="229"/>
        <v>81021.333333333328</v>
      </c>
      <c r="H369" s="5">
        <v>923</v>
      </c>
      <c r="I369" s="5">
        <v>981</v>
      </c>
      <c r="J369" s="5">
        <v>994</v>
      </c>
      <c r="K369" s="63">
        <f t="shared" si="230"/>
        <v>966</v>
      </c>
      <c r="L369" s="108">
        <f t="shared" si="231"/>
        <v>88872</v>
      </c>
      <c r="M369" s="5">
        <v>1044</v>
      </c>
      <c r="N369" s="75">
        <v>1060</v>
      </c>
      <c r="O369" s="75">
        <v>1052</v>
      </c>
      <c r="P369" s="63">
        <f t="shared" si="232"/>
        <v>1052</v>
      </c>
      <c r="Q369" s="108">
        <f t="shared" si="233"/>
        <v>94680</v>
      </c>
      <c r="R369" s="5">
        <v>986</v>
      </c>
      <c r="S369" s="75">
        <v>928</v>
      </c>
      <c r="T369" s="76">
        <v>928</v>
      </c>
      <c r="U369" s="63">
        <f t="shared" si="234"/>
        <v>947.33333333333337</v>
      </c>
      <c r="V369" s="111">
        <f t="shared" si="235"/>
        <v>86207.333333333343</v>
      </c>
      <c r="W369" s="64">
        <f t="shared" si="236"/>
        <v>961.5</v>
      </c>
      <c r="X369" s="66">
        <f t="shared" si="227"/>
        <v>350947.5</v>
      </c>
    </row>
    <row r="370" spans="1:24" ht="16.5" thickBot="1" x14ac:dyDescent="0.3">
      <c r="A370" s="50" t="s">
        <v>137</v>
      </c>
      <c r="B370" s="34"/>
      <c r="C370" s="5">
        <v>17</v>
      </c>
      <c r="D370" s="5">
        <v>17</v>
      </c>
      <c r="E370" s="5">
        <v>17</v>
      </c>
      <c r="F370" s="63">
        <f t="shared" si="228"/>
        <v>17</v>
      </c>
      <c r="G370" s="108">
        <f t="shared" si="229"/>
        <v>1564</v>
      </c>
      <c r="H370" s="5">
        <v>16</v>
      </c>
      <c r="I370" s="5">
        <v>16</v>
      </c>
      <c r="J370" s="5">
        <v>17</v>
      </c>
      <c r="K370" s="63">
        <f t="shared" si="230"/>
        <v>16.333333333333332</v>
      </c>
      <c r="L370" s="108">
        <f t="shared" si="231"/>
        <v>1502.6666666666665</v>
      </c>
      <c r="M370" s="5">
        <v>17</v>
      </c>
      <c r="N370" s="75">
        <v>17</v>
      </c>
      <c r="O370" s="75">
        <v>18</v>
      </c>
      <c r="P370" s="63">
        <f t="shared" si="232"/>
        <v>17.333333333333332</v>
      </c>
      <c r="Q370" s="108">
        <f t="shared" si="233"/>
        <v>1560</v>
      </c>
      <c r="R370" s="5">
        <v>18</v>
      </c>
      <c r="S370" s="75">
        <v>18</v>
      </c>
      <c r="T370" s="76">
        <v>18</v>
      </c>
      <c r="U370" s="63">
        <f t="shared" si="234"/>
        <v>18</v>
      </c>
      <c r="V370" s="112">
        <f t="shared" si="235"/>
        <v>1638</v>
      </c>
      <c r="W370" s="64">
        <f t="shared" si="236"/>
        <v>17.166666666666668</v>
      </c>
      <c r="X370" s="66">
        <f t="shared" si="227"/>
        <v>6265.8333333333339</v>
      </c>
    </row>
    <row r="371" spans="1:24" ht="16.5" thickBot="1" x14ac:dyDescent="0.3">
      <c r="A371" s="53" t="s">
        <v>141</v>
      </c>
      <c r="B371" s="37"/>
      <c r="C371" s="80">
        <f>SUM(C365:C370)</f>
        <v>1524</v>
      </c>
      <c r="D371" s="80">
        <f>SUM(D365:D370)</f>
        <v>1636</v>
      </c>
      <c r="E371" s="80">
        <f>SUM(E365:E370)</f>
        <v>1675</v>
      </c>
      <c r="F371" s="68">
        <f t="shared" si="228"/>
        <v>1611.6666666666667</v>
      </c>
      <c r="G371" s="108">
        <f t="shared" si="229"/>
        <v>148273.33333333334</v>
      </c>
      <c r="H371" s="94">
        <f>SUM(H365:H370)</f>
        <v>1672</v>
      </c>
      <c r="I371" s="80">
        <f>SUM(I365:I370)</f>
        <v>1735</v>
      </c>
      <c r="J371" s="80">
        <f>SUM(J365:J370)</f>
        <v>1721</v>
      </c>
      <c r="K371" s="68">
        <f t="shared" si="230"/>
        <v>1709.3333333333333</v>
      </c>
      <c r="L371" s="119">
        <f t="shared" si="231"/>
        <v>157258.66666666666</v>
      </c>
      <c r="M371" s="94">
        <f>SUM(M365:M370)</f>
        <v>1794</v>
      </c>
      <c r="N371" s="80">
        <f>SUM(N365:N370)</f>
        <v>1845</v>
      </c>
      <c r="O371" s="80">
        <f>SUM(O365:O370)</f>
        <v>1812</v>
      </c>
      <c r="P371" s="68">
        <f t="shared" si="232"/>
        <v>1817</v>
      </c>
      <c r="Q371" s="119">
        <f t="shared" si="233"/>
        <v>163530</v>
      </c>
      <c r="R371" s="94">
        <f>SUM(R365:R370)</f>
        <v>1742</v>
      </c>
      <c r="S371" s="80">
        <f>SUM(S365:S370)</f>
        <v>1693</v>
      </c>
      <c r="T371" s="81">
        <f>SUM(T365:T370)</f>
        <v>1693</v>
      </c>
      <c r="U371" s="68">
        <f t="shared" si="234"/>
        <v>1709.3333333333333</v>
      </c>
      <c r="V371" s="120">
        <f t="shared" si="235"/>
        <v>155549.33333333331</v>
      </c>
      <c r="W371" s="69">
        <f>SUM(W365:W370)</f>
        <v>1711.8333333333335</v>
      </c>
      <c r="X371" s="69">
        <f>SUM(X365:X370)</f>
        <v>624819.16666666674</v>
      </c>
    </row>
    <row r="372" spans="1:24" ht="16.5" thickBot="1" x14ac:dyDescent="0.3">
      <c r="A372" s="54" t="s">
        <v>145</v>
      </c>
      <c r="B372" s="38"/>
      <c r="C372" s="80">
        <f>C363+C371</f>
        <v>5106.8279999999995</v>
      </c>
      <c r="D372" s="80">
        <f>D363+D371</f>
        <v>5154.1210000000001</v>
      </c>
      <c r="E372" s="80">
        <f>E363+E371</f>
        <v>5184.0570000000007</v>
      </c>
      <c r="F372" s="80">
        <f>F363+F371</f>
        <v>5148.3353333333334</v>
      </c>
      <c r="G372" s="68">
        <f>SUM(G363+G371)</f>
        <v>473646.85066666675</v>
      </c>
      <c r="H372" s="80">
        <f>H363+H371</f>
        <v>5190.6319999999996</v>
      </c>
      <c r="I372" s="80">
        <f>I363+I371</f>
        <v>5167.3370000000004</v>
      </c>
      <c r="J372" s="80">
        <f>J363+J371</f>
        <v>5106.4259999999995</v>
      </c>
      <c r="K372" s="120">
        <f t="shared" si="230"/>
        <v>5154.7983333333332</v>
      </c>
      <c r="L372" s="68">
        <f>SUM(L363+L371)</f>
        <v>474241.44666666666</v>
      </c>
      <c r="M372" s="94">
        <f>M363+M371</f>
        <v>5175.9860000000008</v>
      </c>
      <c r="N372" s="80">
        <f>N363+N371</f>
        <v>5240.7709999999997</v>
      </c>
      <c r="O372" s="80">
        <f>O363+O371</f>
        <v>5222.6569999999992</v>
      </c>
      <c r="P372" s="99">
        <f t="shared" si="232"/>
        <v>5213.1379999999999</v>
      </c>
      <c r="Q372" s="68">
        <f>SUM(Q363+Q371)</f>
        <v>472578.55799999996</v>
      </c>
      <c r="R372" s="94">
        <f>R363+R371</f>
        <v>5265.32</v>
      </c>
      <c r="S372" s="80">
        <f>S363+S371</f>
        <v>5296.1450000000004</v>
      </c>
      <c r="T372" s="81">
        <f>T363+T371</f>
        <v>5334.91</v>
      </c>
      <c r="U372" s="99">
        <f t="shared" si="234"/>
        <v>5298.791666666667</v>
      </c>
      <c r="V372" s="68">
        <f>SUM(V363+V371)</f>
        <v>482190.04166666669</v>
      </c>
      <c r="W372" s="80">
        <f>W363+W371</f>
        <v>5203.7658333333338</v>
      </c>
      <c r="X372" s="82">
        <f>X363+X371</f>
        <v>1899374.5291666668</v>
      </c>
    </row>
    <row r="373" spans="1:24" ht="15.75" x14ac:dyDescent="0.25">
      <c r="A373" s="114"/>
      <c r="B373" s="19"/>
      <c r="C373" s="115"/>
      <c r="D373" s="115"/>
      <c r="E373" s="115"/>
      <c r="F373" s="115"/>
      <c r="G373" s="113"/>
      <c r="H373" s="115"/>
      <c r="I373" s="115"/>
      <c r="J373" s="115"/>
      <c r="K373" s="139"/>
      <c r="L373" s="113"/>
      <c r="M373" s="115"/>
      <c r="N373" s="115"/>
      <c r="O373" s="115"/>
      <c r="P373" s="93"/>
      <c r="Q373" s="113"/>
      <c r="R373" s="115"/>
      <c r="S373" s="115"/>
      <c r="T373" s="115"/>
      <c r="U373" s="93"/>
      <c r="V373" s="113"/>
      <c r="W373" s="115"/>
      <c r="X373" s="115"/>
    </row>
    <row r="374" spans="1:24" ht="15.75" x14ac:dyDescent="0.25">
      <c r="A374" s="114"/>
      <c r="B374" s="19"/>
      <c r="C374" s="115"/>
      <c r="D374" s="115"/>
      <c r="E374" s="115"/>
      <c r="F374" s="115"/>
      <c r="G374" s="113"/>
      <c r="H374" s="115"/>
      <c r="I374" s="115"/>
      <c r="J374" s="115"/>
      <c r="K374" s="139"/>
      <c r="L374" s="113"/>
      <c r="M374" s="115"/>
      <c r="N374" s="115"/>
      <c r="O374" s="115"/>
      <c r="P374" s="93"/>
      <c r="Q374" s="113"/>
      <c r="R374" s="115"/>
      <c r="S374" s="115"/>
      <c r="T374" s="115"/>
      <c r="U374" s="93"/>
      <c r="V374" s="113"/>
      <c r="W374" s="115"/>
      <c r="X374" s="115"/>
    </row>
    <row r="375" spans="1:24" ht="16.5" thickBot="1" x14ac:dyDescent="0.25">
      <c r="A375" s="45" t="s">
        <v>144</v>
      </c>
      <c r="B375" s="10"/>
      <c r="C375" s="13"/>
      <c r="D375" s="13"/>
      <c r="E375" s="13"/>
      <c r="F375" s="13"/>
      <c r="G375" s="13"/>
      <c r="H375" s="13"/>
      <c r="I375" s="13"/>
      <c r="J375" s="13"/>
      <c r="K375" s="13"/>
      <c r="L375" s="13"/>
      <c r="M375" s="13"/>
      <c r="N375" s="13"/>
      <c r="O375" s="13"/>
      <c r="P375" s="13"/>
      <c r="Q375" s="13"/>
      <c r="R375" s="13"/>
      <c r="S375" s="13"/>
      <c r="T375" s="13"/>
      <c r="U375" s="13"/>
      <c r="V375" s="13"/>
      <c r="W375" s="13"/>
      <c r="X375" s="13"/>
    </row>
    <row r="376" spans="1:24" ht="16.5" thickBot="1" x14ac:dyDescent="0.3">
      <c r="A376" s="32" t="s">
        <v>274</v>
      </c>
      <c r="B376" s="1055" t="s">
        <v>142</v>
      </c>
      <c r="C376" s="1060"/>
      <c r="D376" s="1060"/>
      <c r="E376" s="1060"/>
      <c r="F376" s="1060"/>
      <c r="G376" s="1060"/>
      <c r="H376" s="1060"/>
      <c r="I376" s="1060"/>
      <c r="J376" s="1060"/>
      <c r="K376" s="1060"/>
      <c r="L376" s="1060"/>
      <c r="M376" s="1060"/>
      <c r="N376" s="1060"/>
      <c r="O376" s="1060"/>
      <c r="P376" s="1060"/>
      <c r="Q376" s="1060"/>
      <c r="R376" s="1060"/>
      <c r="S376" s="1060"/>
      <c r="T376" s="1060"/>
      <c r="U376" s="39"/>
      <c r="V376" s="39"/>
      <c r="W376" s="92"/>
      <c r="X376" s="13"/>
    </row>
    <row r="377" spans="1:24" ht="15.75" x14ac:dyDescent="0.25">
      <c r="A377" s="11"/>
      <c r="B377" s="40" t="s">
        <v>245</v>
      </c>
      <c r="C377" s="57"/>
      <c r="D377" s="58"/>
      <c r="E377" s="58"/>
      <c r="F377" s="1047" t="s">
        <v>242</v>
      </c>
      <c r="G377" s="1039" t="s">
        <v>262</v>
      </c>
      <c r="H377" s="58"/>
      <c r="I377" s="58"/>
      <c r="J377" s="58"/>
      <c r="K377" s="1047" t="s">
        <v>242</v>
      </c>
      <c r="L377" s="1039" t="s">
        <v>262</v>
      </c>
      <c r="M377" s="58"/>
      <c r="N377" s="58"/>
      <c r="O377" s="58"/>
      <c r="P377" s="1047" t="s">
        <v>242</v>
      </c>
      <c r="Q377" s="1039" t="s">
        <v>262</v>
      </c>
      <c r="R377" s="58"/>
      <c r="S377" s="58"/>
      <c r="T377" s="59"/>
      <c r="U377" s="1047" t="s">
        <v>242</v>
      </c>
      <c r="V377" s="1039" t="s">
        <v>262</v>
      </c>
      <c r="W377" s="1041" t="s">
        <v>143</v>
      </c>
      <c r="X377" s="1043" t="s">
        <v>144</v>
      </c>
    </row>
    <row r="378" spans="1:24" ht="15.75" customHeight="1" thickBot="1" x14ac:dyDescent="0.3">
      <c r="A378" s="47" t="s">
        <v>55</v>
      </c>
      <c r="B378" s="41" t="s">
        <v>246</v>
      </c>
      <c r="C378" s="60">
        <v>38538</v>
      </c>
      <c r="D378" s="61">
        <v>38569</v>
      </c>
      <c r="E378" s="61">
        <v>38600</v>
      </c>
      <c r="F378" s="1048"/>
      <c r="G378" s="1057"/>
      <c r="H378" s="61">
        <v>38630</v>
      </c>
      <c r="I378" s="61">
        <v>38661</v>
      </c>
      <c r="J378" s="61">
        <v>38691</v>
      </c>
      <c r="K378" s="1057"/>
      <c r="L378" s="1057"/>
      <c r="M378" s="61">
        <v>38718</v>
      </c>
      <c r="N378" s="61">
        <v>38749</v>
      </c>
      <c r="O378" s="61">
        <v>38777</v>
      </c>
      <c r="P378" s="1057"/>
      <c r="Q378" s="1057"/>
      <c r="R378" s="61">
        <v>38808</v>
      </c>
      <c r="S378" s="61">
        <v>38838</v>
      </c>
      <c r="T378" s="62">
        <v>38869</v>
      </c>
      <c r="U378" s="1057"/>
      <c r="V378" s="1057"/>
      <c r="W378" s="1057"/>
      <c r="X378" s="1057"/>
    </row>
    <row r="379" spans="1:24" ht="32.25" customHeight="1" thickBot="1" x14ac:dyDescent="0.3">
      <c r="A379" s="48" t="s">
        <v>275</v>
      </c>
      <c r="B379" s="42" t="s">
        <v>247</v>
      </c>
      <c r="C379" s="125">
        <v>456.77</v>
      </c>
      <c r="D379" s="125">
        <v>441.45</v>
      </c>
      <c r="E379" s="117">
        <v>460.2</v>
      </c>
      <c r="F379" s="63">
        <f t="shared" ref="F379:F393" si="237">SUM(C379:E379)/3</f>
        <v>452.80666666666667</v>
      </c>
      <c r="G379" s="108">
        <f t="shared" ref="G379:G393" si="238">F379*92</f>
        <v>41658.213333333333</v>
      </c>
      <c r="H379" s="117">
        <v>449.61</v>
      </c>
      <c r="I379" s="117">
        <v>436.43</v>
      </c>
      <c r="J379" s="117">
        <v>435.55</v>
      </c>
      <c r="K379" s="63">
        <f t="shared" ref="K379:K393" si="239">SUM(H379:J379)/3</f>
        <v>440.53</v>
      </c>
      <c r="L379" s="108">
        <f t="shared" ref="L379:L393" si="240">K379*92</f>
        <v>40528.759999999995</v>
      </c>
      <c r="M379" s="117">
        <v>446.52</v>
      </c>
      <c r="N379" s="85">
        <v>447.57</v>
      </c>
      <c r="O379" s="85">
        <v>483.19</v>
      </c>
      <c r="P379" s="63">
        <f t="shared" ref="P379:P393" si="241">SUM(M379:O379)/3</f>
        <v>459.09333333333331</v>
      </c>
      <c r="Q379" s="108">
        <f t="shared" ref="Q379:Q391" si="242">P379*90</f>
        <v>41318.399999999994</v>
      </c>
      <c r="R379" s="117">
        <v>476.97</v>
      </c>
      <c r="S379" s="85">
        <v>477.42</v>
      </c>
      <c r="T379" s="135">
        <v>493.7</v>
      </c>
      <c r="U379" s="63">
        <f t="shared" ref="U379:U393" si="243">SUM(R379:T379)/3</f>
        <v>482.69666666666672</v>
      </c>
      <c r="V379" s="111">
        <f t="shared" ref="V379:V393" si="244">U379*91</f>
        <v>43925.396666666667</v>
      </c>
      <c r="W379" s="64">
        <f t="shared" ref="W379:W393" si="245">SUM(C379+D379+E379+H379+I379+J379+M379+N379+O379+R379+S379+T379)/12</f>
        <v>458.78166666666669</v>
      </c>
      <c r="X379" s="65">
        <f>W379*365</f>
        <v>167455.30833333335</v>
      </c>
    </row>
    <row r="380" spans="1:24" ht="16.5" thickBot="1" x14ac:dyDescent="0.3">
      <c r="A380" s="49" t="s">
        <v>127</v>
      </c>
      <c r="B380" s="43" t="s">
        <v>248</v>
      </c>
      <c r="C380" s="126">
        <v>128.41999999999999</v>
      </c>
      <c r="D380" s="126">
        <v>140.13</v>
      </c>
      <c r="E380" s="118">
        <v>126.17</v>
      </c>
      <c r="F380" s="63">
        <f t="shared" si="237"/>
        <v>131.57333333333332</v>
      </c>
      <c r="G380" s="108">
        <f t="shared" si="238"/>
        <v>12104.746666666666</v>
      </c>
      <c r="H380" s="118">
        <v>127.16</v>
      </c>
      <c r="I380" s="118">
        <v>113.43</v>
      </c>
      <c r="J380" s="118">
        <v>111.16</v>
      </c>
      <c r="K380" s="63">
        <f t="shared" si="239"/>
        <v>117.25</v>
      </c>
      <c r="L380" s="108">
        <f t="shared" si="240"/>
        <v>10787</v>
      </c>
      <c r="M380" s="118">
        <v>138.1</v>
      </c>
      <c r="N380" s="86">
        <v>109.79</v>
      </c>
      <c r="O380" s="86">
        <v>99.064999999999998</v>
      </c>
      <c r="P380" s="63">
        <f t="shared" si="241"/>
        <v>115.65166666666666</v>
      </c>
      <c r="Q380" s="108">
        <f t="shared" si="242"/>
        <v>10408.65</v>
      </c>
      <c r="R380" s="118">
        <v>103</v>
      </c>
      <c r="S380" s="86">
        <v>98.451999999999998</v>
      </c>
      <c r="T380" s="89">
        <v>97.867000000000004</v>
      </c>
      <c r="U380" s="63">
        <f t="shared" si="243"/>
        <v>99.77300000000001</v>
      </c>
      <c r="V380" s="111">
        <f t="shared" si="244"/>
        <v>9079.3430000000008</v>
      </c>
      <c r="W380" s="64">
        <f t="shared" si="245"/>
        <v>116.062</v>
      </c>
      <c r="X380" s="65">
        <f>W380*365</f>
        <v>42362.63</v>
      </c>
    </row>
    <row r="381" spans="1:24" ht="16.5" thickBot="1" x14ac:dyDescent="0.3">
      <c r="A381" s="50" t="s">
        <v>276</v>
      </c>
      <c r="B381" s="44" t="s">
        <v>249</v>
      </c>
      <c r="C381" s="4">
        <v>375.45</v>
      </c>
      <c r="D381" s="4">
        <v>374.35</v>
      </c>
      <c r="E381" s="3">
        <v>385.1</v>
      </c>
      <c r="F381" s="63">
        <f t="shared" si="237"/>
        <v>378.3</v>
      </c>
      <c r="G381" s="108">
        <f t="shared" si="238"/>
        <v>34803.599999999999</v>
      </c>
      <c r="H381" s="3">
        <v>414.74</v>
      </c>
      <c r="I381" s="3">
        <v>411.3</v>
      </c>
      <c r="J381" s="3">
        <v>412.13</v>
      </c>
      <c r="K381" s="63">
        <f t="shared" si="239"/>
        <v>412.72333333333336</v>
      </c>
      <c r="L381" s="108">
        <f t="shared" si="240"/>
        <v>37970.546666666669</v>
      </c>
      <c r="M381" s="3">
        <v>420.9</v>
      </c>
      <c r="N381" s="87">
        <v>421.75</v>
      </c>
      <c r="O381" s="87">
        <v>437.58</v>
      </c>
      <c r="P381" s="63">
        <f t="shared" si="241"/>
        <v>426.74333333333334</v>
      </c>
      <c r="Q381" s="108">
        <f t="shared" si="242"/>
        <v>38406.9</v>
      </c>
      <c r="R381" s="3">
        <v>440.5</v>
      </c>
      <c r="S381" s="87">
        <v>438.9</v>
      </c>
      <c r="T381" s="90">
        <v>441.4</v>
      </c>
      <c r="U381" s="63">
        <f t="shared" si="243"/>
        <v>440.26666666666665</v>
      </c>
      <c r="V381" s="111">
        <f t="shared" si="244"/>
        <v>40064.266666666663</v>
      </c>
      <c r="W381" s="64">
        <f t="shared" si="245"/>
        <v>414.50833333333327</v>
      </c>
      <c r="X381" s="66">
        <f t="shared" ref="X381:X400" si="246">W381*365</f>
        <v>151295.54166666666</v>
      </c>
    </row>
    <row r="382" spans="1:24" ht="16.5" thickBot="1" x14ac:dyDescent="0.3">
      <c r="A382" s="50" t="s">
        <v>24</v>
      </c>
      <c r="B382" s="44" t="s">
        <v>250</v>
      </c>
      <c r="C382" s="4">
        <v>244</v>
      </c>
      <c r="D382" s="4">
        <v>249.16</v>
      </c>
      <c r="E382" s="3">
        <v>264.77</v>
      </c>
      <c r="F382" s="63">
        <f t="shared" si="237"/>
        <v>252.64333333333332</v>
      </c>
      <c r="G382" s="108">
        <f t="shared" si="238"/>
        <v>23243.186666666665</v>
      </c>
      <c r="H382" s="3">
        <v>278.77</v>
      </c>
      <c r="I382" s="3">
        <v>295.2</v>
      </c>
      <c r="J382" s="3">
        <v>281.81</v>
      </c>
      <c r="K382" s="63">
        <f t="shared" si="239"/>
        <v>285.26</v>
      </c>
      <c r="L382" s="108">
        <f t="shared" si="240"/>
        <v>26243.919999999998</v>
      </c>
      <c r="M382" s="3">
        <v>290.26</v>
      </c>
      <c r="N382" s="87">
        <v>295.75</v>
      </c>
      <c r="O382" s="87">
        <v>279.64999999999998</v>
      </c>
      <c r="P382" s="63">
        <f t="shared" si="241"/>
        <v>288.55333333333334</v>
      </c>
      <c r="Q382" s="108">
        <f t="shared" si="242"/>
        <v>25969.8</v>
      </c>
      <c r="R382" s="3">
        <v>307.7</v>
      </c>
      <c r="S382" s="87">
        <v>309.39</v>
      </c>
      <c r="T382" s="90">
        <v>309.57</v>
      </c>
      <c r="U382" s="63">
        <f t="shared" si="243"/>
        <v>308.8866666666666</v>
      </c>
      <c r="V382" s="111">
        <f t="shared" si="244"/>
        <v>28108.686666666661</v>
      </c>
      <c r="W382" s="64">
        <f t="shared" si="245"/>
        <v>283.83583333333331</v>
      </c>
      <c r="X382" s="66">
        <f t="shared" si="246"/>
        <v>103600.07916666666</v>
      </c>
    </row>
    <row r="383" spans="1:24" ht="16.5" thickBot="1" x14ac:dyDescent="0.3">
      <c r="A383" s="51" t="s">
        <v>259</v>
      </c>
      <c r="B383" s="44" t="s">
        <v>251</v>
      </c>
      <c r="C383" s="4">
        <v>331.84</v>
      </c>
      <c r="D383" s="4">
        <v>327.96</v>
      </c>
      <c r="E383" s="3">
        <v>326.39999999999998</v>
      </c>
      <c r="F383" s="63">
        <f t="shared" si="237"/>
        <v>328.73333333333329</v>
      </c>
      <c r="G383" s="108">
        <f t="shared" si="238"/>
        <v>30243.466666666664</v>
      </c>
      <c r="H383" s="3">
        <v>327.93</v>
      </c>
      <c r="I383" s="3">
        <v>323.43</v>
      </c>
      <c r="J383" s="3">
        <v>319.51</v>
      </c>
      <c r="K383" s="63">
        <f t="shared" si="239"/>
        <v>323.62333333333333</v>
      </c>
      <c r="L383" s="108">
        <f t="shared" si="240"/>
        <v>29773.346666666668</v>
      </c>
      <c r="M383" s="3">
        <v>328.09</v>
      </c>
      <c r="N383" s="87">
        <v>333.71</v>
      </c>
      <c r="O383" s="87">
        <v>340.322</v>
      </c>
      <c r="P383" s="63">
        <f t="shared" si="241"/>
        <v>334.04066666666665</v>
      </c>
      <c r="Q383" s="108">
        <f t="shared" si="242"/>
        <v>30063.66</v>
      </c>
      <c r="R383" s="3">
        <v>343.7</v>
      </c>
      <c r="S383" s="87">
        <v>353.16300000000001</v>
      </c>
      <c r="T383" s="90">
        <v>361.37</v>
      </c>
      <c r="U383" s="63">
        <f t="shared" si="243"/>
        <v>352.74433333333337</v>
      </c>
      <c r="V383" s="111">
        <f t="shared" si="244"/>
        <v>32099.734333333337</v>
      </c>
      <c r="W383" s="64">
        <f t="shared" si="245"/>
        <v>334.78541666666666</v>
      </c>
      <c r="X383" s="66">
        <f t="shared" si="246"/>
        <v>122196.67708333333</v>
      </c>
    </row>
    <row r="384" spans="1:24" ht="16.5" thickBot="1" x14ac:dyDescent="0.3">
      <c r="A384" s="50" t="s">
        <v>15</v>
      </c>
      <c r="B384" s="44" t="s">
        <v>252</v>
      </c>
      <c r="C384" s="4">
        <v>69.55</v>
      </c>
      <c r="D384" s="4">
        <v>66.322999999999993</v>
      </c>
      <c r="E384" s="3">
        <v>68.900000000000006</v>
      </c>
      <c r="F384" s="63">
        <f t="shared" si="237"/>
        <v>68.257666666666665</v>
      </c>
      <c r="G384" s="108">
        <f t="shared" si="238"/>
        <v>6279.7053333333333</v>
      </c>
      <c r="H384" s="3">
        <v>70.225999999999999</v>
      </c>
      <c r="I384" s="3">
        <v>66.966999999999999</v>
      </c>
      <c r="J384" s="3">
        <v>66.709999999999994</v>
      </c>
      <c r="K384" s="63">
        <f t="shared" si="239"/>
        <v>67.967666666666659</v>
      </c>
      <c r="L384" s="108">
        <f t="shared" si="240"/>
        <v>6253.025333333333</v>
      </c>
      <c r="M384" s="3">
        <v>62.22</v>
      </c>
      <c r="N384" s="87">
        <v>59.893000000000001</v>
      </c>
      <c r="O384" s="87">
        <v>61.194000000000003</v>
      </c>
      <c r="P384" s="63">
        <f t="shared" si="241"/>
        <v>61.102333333333341</v>
      </c>
      <c r="Q384" s="108">
        <f t="shared" si="242"/>
        <v>5499.2100000000009</v>
      </c>
      <c r="R384" s="3">
        <v>61.13</v>
      </c>
      <c r="S384" s="87">
        <v>60.128999999999998</v>
      </c>
      <c r="T384" s="90">
        <v>61.067</v>
      </c>
      <c r="U384" s="63">
        <f t="shared" si="243"/>
        <v>60.775333333333329</v>
      </c>
      <c r="V384" s="111">
        <f t="shared" si="244"/>
        <v>5530.5553333333328</v>
      </c>
      <c r="W384" s="64">
        <f t="shared" si="245"/>
        <v>64.525750000000002</v>
      </c>
      <c r="X384" s="66">
        <f t="shared" si="246"/>
        <v>23551.89875</v>
      </c>
    </row>
    <row r="385" spans="1:24" ht="16.5" thickBot="1" x14ac:dyDescent="0.3">
      <c r="A385" s="50" t="s">
        <v>16</v>
      </c>
      <c r="B385" s="44" t="s">
        <v>253</v>
      </c>
      <c r="C385" s="4">
        <v>185.06</v>
      </c>
      <c r="D385" s="4">
        <v>195.19</v>
      </c>
      <c r="E385" s="3">
        <v>198.4</v>
      </c>
      <c r="F385" s="63">
        <f t="shared" si="237"/>
        <v>192.88333333333333</v>
      </c>
      <c r="G385" s="108">
        <f t="shared" si="238"/>
        <v>17745.266666666666</v>
      </c>
      <c r="H385" s="3">
        <v>193.42</v>
      </c>
      <c r="I385" s="3">
        <v>188.8</v>
      </c>
      <c r="J385" s="3">
        <v>196.68</v>
      </c>
      <c r="K385" s="63">
        <f t="shared" si="239"/>
        <v>192.9666666666667</v>
      </c>
      <c r="L385" s="108">
        <f t="shared" si="240"/>
        <v>17752.933333333334</v>
      </c>
      <c r="M385" s="3">
        <v>206.1</v>
      </c>
      <c r="N385" s="87">
        <v>206.46</v>
      </c>
      <c r="O385" s="87">
        <v>204.74</v>
      </c>
      <c r="P385" s="63">
        <f t="shared" si="241"/>
        <v>205.76666666666665</v>
      </c>
      <c r="Q385" s="108">
        <f t="shared" si="242"/>
        <v>18519</v>
      </c>
      <c r="R385" s="3">
        <v>197</v>
      </c>
      <c r="S385" s="87">
        <v>198.81</v>
      </c>
      <c r="T385" s="90">
        <v>198.73</v>
      </c>
      <c r="U385" s="63">
        <f t="shared" si="243"/>
        <v>198.17999999999998</v>
      </c>
      <c r="V385" s="111">
        <f t="shared" si="244"/>
        <v>18034.379999999997</v>
      </c>
      <c r="W385" s="64">
        <f t="shared" si="245"/>
        <v>197.44916666666666</v>
      </c>
      <c r="X385" s="66">
        <f t="shared" si="246"/>
        <v>72068.945833333331</v>
      </c>
    </row>
    <row r="386" spans="1:24" ht="16.5" thickBot="1" x14ac:dyDescent="0.3">
      <c r="A386" s="50" t="s">
        <v>129</v>
      </c>
      <c r="B386" s="44" t="s">
        <v>254</v>
      </c>
      <c r="C386" s="4">
        <v>100.87</v>
      </c>
      <c r="D386" s="4">
        <v>100.74</v>
      </c>
      <c r="E386" s="3">
        <v>98.5</v>
      </c>
      <c r="F386" s="63">
        <f t="shared" si="237"/>
        <v>100.03666666666668</v>
      </c>
      <c r="G386" s="108">
        <f t="shared" si="238"/>
        <v>9203.3733333333348</v>
      </c>
      <c r="H386" s="3">
        <v>91.903000000000006</v>
      </c>
      <c r="I386" s="3">
        <v>93.266999999999996</v>
      </c>
      <c r="J386" s="3">
        <v>105.23</v>
      </c>
      <c r="K386" s="63">
        <f t="shared" si="239"/>
        <v>96.800000000000011</v>
      </c>
      <c r="L386" s="108">
        <f t="shared" si="240"/>
        <v>8905.6</v>
      </c>
      <c r="M386" s="3">
        <v>99.45</v>
      </c>
      <c r="N386" s="87">
        <v>99.820999999999998</v>
      </c>
      <c r="O386" s="87">
        <v>102.81</v>
      </c>
      <c r="P386" s="63">
        <f t="shared" si="241"/>
        <v>100.69366666666667</v>
      </c>
      <c r="Q386" s="108">
        <f t="shared" si="242"/>
        <v>9062.43</v>
      </c>
      <c r="R386" s="3">
        <v>102.67</v>
      </c>
      <c r="S386" s="87">
        <v>103</v>
      </c>
      <c r="T386" s="90">
        <v>99.966999999999999</v>
      </c>
      <c r="U386" s="63">
        <f t="shared" si="243"/>
        <v>101.879</v>
      </c>
      <c r="V386" s="111">
        <f t="shared" si="244"/>
        <v>9270.9889999999996</v>
      </c>
      <c r="W386" s="64">
        <f t="shared" si="245"/>
        <v>99.852333333333334</v>
      </c>
      <c r="X386" s="66">
        <f t="shared" si="246"/>
        <v>36446.101666666669</v>
      </c>
    </row>
    <row r="387" spans="1:24" ht="16.5" thickBot="1" x14ac:dyDescent="0.3">
      <c r="A387" s="51" t="s">
        <v>260</v>
      </c>
      <c r="B387" s="44" t="s">
        <v>255</v>
      </c>
      <c r="C387" s="4">
        <v>414.78</v>
      </c>
      <c r="D387" s="4">
        <v>402.87</v>
      </c>
      <c r="E387" s="3">
        <v>398.3</v>
      </c>
      <c r="F387" s="63">
        <f t="shared" si="237"/>
        <v>405.31666666666666</v>
      </c>
      <c r="G387" s="108">
        <f t="shared" si="238"/>
        <v>37289.133333333331</v>
      </c>
      <c r="H387" s="3">
        <v>411.68</v>
      </c>
      <c r="I387" s="3">
        <v>394.64</v>
      </c>
      <c r="J387" s="3">
        <v>402.13</v>
      </c>
      <c r="K387" s="63">
        <f t="shared" si="239"/>
        <v>402.81666666666661</v>
      </c>
      <c r="L387" s="108">
        <f t="shared" si="240"/>
        <v>37059.133333333331</v>
      </c>
      <c r="M387" s="3">
        <v>414.39</v>
      </c>
      <c r="N387" s="87">
        <v>407.47</v>
      </c>
      <c r="O387" s="87">
        <v>414.74</v>
      </c>
      <c r="P387" s="63">
        <f t="shared" si="241"/>
        <v>412.2</v>
      </c>
      <c r="Q387" s="108">
        <f t="shared" si="242"/>
        <v>37098</v>
      </c>
      <c r="R387" s="3">
        <v>414.5</v>
      </c>
      <c r="S387" s="87">
        <v>394.93</v>
      </c>
      <c r="T387" s="90">
        <v>405.17</v>
      </c>
      <c r="U387" s="63">
        <f t="shared" si="243"/>
        <v>404.86666666666673</v>
      </c>
      <c r="V387" s="111">
        <f t="shared" si="244"/>
        <v>36842.866666666676</v>
      </c>
      <c r="W387" s="64">
        <f t="shared" si="245"/>
        <v>406.3</v>
      </c>
      <c r="X387" s="66">
        <f t="shared" si="246"/>
        <v>148299.5</v>
      </c>
    </row>
    <row r="388" spans="1:24" ht="16.5" thickBot="1" x14ac:dyDescent="0.3">
      <c r="A388" s="50" t="s">
        <v>138</v>
      </c>
      <c r="B388" s="121" t="s">
        <v>263</v>
      </c>
      <c r="C388" s="4">
        <v>101.87</v>
      </c>
      <c r="D388" s="4">
        <v>105.81</v>
      </c>
      <c r="E388" s="3">
        <v>108.63</v>
      </c>
      <c r="F388" s="63">
        <f t="shared" si="237"/>
        <v>105.43666666666667</v>
      </c>
      <c r="G388" s="108">
        <f t="shared" si="238"/>
        <v>9700.1733333333341</v>
      </c>
      <c r="H388" s="3">
        <v>106.13</v>
      </c>
      <c r="I388" s="3">
        <v>97</v>
      </c>
      <c r="J388" s="3">
        <v>94.61</v>
      </c>
      <c r="K388" s="63">
        <f t="shared" si="239"/>
        <v>99.24666666666667</v>
      </c>
      <c r="L388" s="108">
        <f t="shared" si="240"/>
        <v>9130.6933333333327</v>
      </c>
      <c r="M388" s="3">
        <v>87.93</v>
      </c>
      <c r="N388" s="87">
        <v>91.929000000000002</v>
      </c>
      <c r="O388" s="87">
        <v>91.129000000000005</v>
      </c>
      <c r="P388" s="63">
        <f t="shared" si="241"/>
        <v>90.329333333333338</v>
      </c>
      <c r="Q388" s="108">
        <f t="shared" si="242"/>
        <v>8129.64</v>
      </c>
      <c r="R388" s="3">
        <v>99.23</v>
      </c>
      <c r="S388" s="87">
        <v>98.064999999999998</v>
      </c>
      <c r="T388" s="90">
        <v>92.533000000000001</v>
      </c>
      <c r="U388" s="63">
        <f t="shared" si="243"/>
        <v>96.609333333333339</v>
      </c>
      <c r="V388" s="111">
        <f t="shared" si="244"/>
        <v>8791.4493333333339</v>
      </c>
      <c r="W388" s="64">
        <f t="shared" si="245"/>
        <v>97.905500000000004</v>
      </c>
      <c r="X388" s="66">
        <f>W388*365</f>
        <v>35735.5075</v>
      </c>
    </row>
    <row r="389" spans="1:24" ht="16.5" thickBot="1" x14ac:dyDescent="0.3">
      <c r="A389" s="49" t="s">
        <v>19</v>
      </c>
      <c r="B389" s="43" t="s">
        <v>256</v>
      </c>
      <c r="C389" s="126">
        <v>477.52</v>
      </c>
      <c r="D389" s="126">
        <v>476.94</v>
      </c>
      <c r="E389" s="118">
        <v>467.93</v>
      </c>
      <c r="F389" s="63">
        <f t="shared" si="237"/>
        <v>474.13000000000005</v>
      </c>
      <c r="G389" s="108">
        <f t="shared" si="238"/>
        <v>43619.960000000006</v>
      </c>
      <c r="H389" s="118">
        <v>497.16</v>
      </c>
      <c r="I389" s="3">
        <v>492.83</v>
      </c>
      <c r="J389" s="118">
        <v>491.39</v>
      </c>
      <c r="K389" s="63">
        <f t="shared" si="239"/>
        <v>493.79333333333335</v>
      </c>
      <c r="L389" s="111">
        <f t="shared" si="240"/>
        <v>45428.986666666671</v>
      </c>
      <c r="M389" s="3">
        <v>497.29</v>
      </c>
      <c r="N389" s="86">
        <v>479.11</v>
      </c>
      <c r="O389" s="86">
        <v>489.26</v>
      </c>
      <c r="P389" s="63">
        <f t="shared" si="241"/>
        <v>488.55333333333334</v>
      </c>
      <c r="Q389" s="108">
        <f t="shared" si="242"/>
        <v>43969.8</v>
      </c>
      <c r="R389" s="3">
        <v>496.13</v>
      </c>
      <c r="S389" s="86">
        <v>487.29</v>
      </c>
      <c r="T389" s="89">
        <v>488.6</v>
      </c>
      <c r="U389" s="63">
        <f t="shared" si="243"/>
        <v>490.67333333333335</v>
      </c>
      <c r="V389" s="111">
        <f t="shared" si="244"/>
        <v>44651.273333333338</v>
      </c>
      <c r="W389" s="64">
        <f t="shared" si="245"/>
        <v>486.78750000000008</v>
      </c>
      <c r="X389" s="65">
        <f t="shared" si="246"/>
        <v>177677.43750000003</v>
      </c>
    </row>
    <row r="390" spans="1:24" ht="16.5" thickBot="1" x14ac:dyDescent="0.3">
      <c r="A390" s="51" t="s">
        <v>261</v>
      </c>
      <c r="B390" s="44" t="s">
        <v>257</v>
      </c>
      <c r="C390" s="4">
        <v>337.23</v>
      </c>
      <c r="D390" s="4">
        <v>370.58</v>
      </c>
      <c r="E390" s="3">
        <v>393.5</v>
      </c>
      <c r="F390" s="63">
        <f t="shared" si="237"/>
        <v>367.1033333333333</v>
      </c>
      <c r="G390" s="108">
        <f t="shared" si="238"/>
        <v>33773.506666666661</v>
      </c>
      <c r="H390" s="3">
        <v>378.03</v>
      </c>
      <c r="I390" s="3">
        <v>365.43</v>
      </c>
      <c r="J390" s="3">
        <v>366.61</v>
      </c>
      <c r="K390" s="63">
        <f t="shared" si="239"/>
        <v>370.02333333333337</v>
      </c>
      <c r="L390" s="108">
        <f t="shared" si="240"/>
        <v>34042.146666666667</v>
      </c>
      <c r="M390" s="3">
        <v>382.2</v>
      </c>
      <c r="N390" s="87">
        <v>384.83</v>
      </c>
      <c r="O390" s="87">
        <v>379.42</v>
      </c>
      <c r="P390" s="63">
        <f t="shared" si="241"/>
        <v>382.15000000000003</v>
      </c>
      <c r="Q390" s="108">
        <f t="shared" si="242"/>
        <v>34393.5</v>
      </c>
      <c r="R390" s="3">
        <v>351.93</v>
      </c>
      <c r="S390" s="87">
        <v>353.35</v>
      </c>
      <c r="T390" s="90">
        <v>357.8</v>
      </c>
      <c r="U390" s="63">
        <f t="shared" si="243"/>
        <v>354.35999999999996</v>
      </c>
      <c r="V390" s="111">
        <f t="shared" si="244"/>
        <v>32246.759999999995</v>
      </c>
      <c r="W390" s="64">
        <f t="shared" si="245"/>
        <v>368.40916666666664</v>
      </c>
      <c r="X390" s="66">
        <f t="shared" si="246"/>
        <v>134469.34583333333</v>
      </c>
    </row>
    <row r="391" spans="1:24" ht="16.5" thickBot="1" x14ac:dyDescent="0.3">
      <c r="A391" s="50" t="s">
        <v>130</v>
      </c>
      <c r="B391" s="44" t="s">
        <v>258</v>
      </c>
      <c r="C391" s="4">
        <v>133.87</v>
      </c>
      <c r="D391" s="4">
        <v>134.9</v>
      </c>
      <c r="E391" s="3">
        <v>132.47</v>
      </c>
      <c r="F391" s="63">
        <f t="shared" si="237"/>
        <v>133.74666666666667</v>
      </c>
      <c r="G391" s="108">
        <f t="shared" si="238"/>
        <v>12304.693333333333</v>
      </c>
      <c r="H391" s="3">
        <v>122.52</v>
      </c>
      <c r="I391" s="3">
        <v>99.7</v>
      </c>
      <c r="J391" s="3">
        <v>99.74</v>
      </c>
      <c r="K391" s="63">
        <f t="shared" si="239"/>
        <v>107.32</v>
      </c>
      <c r="L391" s="108">
        <f t="shared" si="240"/>
        <v>9873.4399999999987</v>
      </c>
      <c r="M391" s="3">
        <v>105.26</v>
      </c>
      <c r="N391" s="87">
        <v>108.18</v>
      </c>
      <c r="O391" s="87">
        <v>115.29</v>
      </c>
      <c r="P391" s="63">
        <f t="shared" si="241"/>
        <v>109.57666666666667</v>
      </c>
      <c r="Q391" s="108">
        <f t="shared" si="242"/>
        <v>9861.9</v>
      </c>
      <c r="R391" s="3">
        <v>112.07</v>
      </c>
      <c r="S391" s="87">
        <v>121.84</v>
      </c>
      <c r="T391" s="90">
        <v>119.1</v>
      </c>
      <c r="U391" s="63">
        <f t="shared" si="243"/>
        <v>117.67</v>
      </c>
      <c r="V391" s="111">
        <f t="shared" si="244"/>
        <v>10707.97</v>
      </c>
      <c r="W391" s="64">
        <f t="shared" si="245"/>
        <v>117.07833333333332</v>
      </c>
      <c r="X391" s="66">
        <f t="shared" si="246"/>
        <v>42733.59166666666</v>
      </c>
    </row>
    <row r="392" spans="1:24" ht="16.5" thickBot="1" x14ac:dyDescent="0.3">
      <c r="A392" s="50" t="s">
        <v>131</v>
      </c>
      <c r="B392" s="34"/>
      <c r="C392" s="4">
        <v>0</v>
      </c>
      <c r="D392" s="4">
        <v>0</v>
      </c>
      <c r="E392" s="4">
        <v>0</v>
      </c>
      <c r="F392" s="67">
        <f t="shared" si="237"/>
        <v>0</v>
      </c>
      <c r="G392" s="108">
        <f t="shared" si="238"/>
        <v>0</v>
      </c>
      <c r="H392" s="18"/>
      <c r="I392" s="4">
        <v>0</v>
      </c>
      <c r="J392" s="18"/>
      <c r="K392" s="67">
        <f t="shared" si="239"/>
        <v>0</v>
      </c>
      <c r="L392" s="108">
        <f t="shared" si="240"/>
        <v>0</v>
      </c>
      <c r="M392" s="18"/>
      <c r="N392" s="4">
        <v>0</v>
      </c>
      <c r="O392" s="4">
        <v>0</v>
      </c>
      <c r="P392" s="67">
        <f t="shared" si="241"/>
        <v>0</v>
      </c>
      <c r="Q392" s="108">
        <f>P392*91</f>
        <v>0</v>
      </c>
      <c r="R392" s="3"/>
      <c r="S392" s="4"/>
      <c r="T392" s="4"/>
      <c r="U392" s="67">
        <f t="shared" si="243"/>
        <v>0</v>
      </c>
      <c r="V392" s="112">
        <f t="shared" si="244"/>
        <v>0</v>
      </c>
      <c r="W392" s="137">
        <f t="shared" si="245"/>
        <v>0</v>
      </c>
      <c r="X392" s="66">
        <f>W392*365</f>
        <v>0</v>
      </c>
    </row>
    <row r="393" spans="1:24" ht="16.5" thickBot="1" x14ac:dyDescent="0.3">
      <c r="A393" s="46" t="s">
        <v>139</v>
      </c>
      <c r="B393" s="35"/>
      <c r="C393" s="80">
        <f>SUM(C379:C392)</f>
        <v>3357.2299999999996</v>
      </c>
      <c r="D393" s="80">
        <f>SUM(D379:D392)</f>
        <v>3386.4030000000002</v>
      </c>
      <c r="E393" s="80">
        <f>SUM(E379:E392)</f>
        <v>3429.27</v>
      </c>
      <c r="F393" s="68">
        <f t="shared" si="237"/>
        <v>3390.9676666666669</v>
      </c>
      <c r="G393" s="108">
        <f t="shared" si="238"/>
        <v>311969.02533333335</v>
      </c>
      <c r="H393" s="94">
        <f>SUM(H379:H392)</f>
        <v>3469.279</v>
      </c>
      <c r="I393" s="80">
        <f>SUM(I379:I392)</f>
        <v>3378.424</v>
      </c>
      <c r="J393" s="80">
        <f>SUM(J379:J392)</f>
        <v>3383.26</v>
      </c>
      <c r="K393" s="68">
        <f t="shared" si="239"/>
        <v>3410.3209999999999</v>
      </c>
      <c r="L393" s="119">
        <f t="shared" si="240"/>
        <v>313749.53200000001</v>
      </c>
      <c r="M393" s="9">
        <f>SUM(M379:M392)</f>
        <v>3478.7099999999996</v>
      </c>
      <c r="N393" s="80">
        <f>SUM(N379:N392)</f>
        <v>3446.2629999999999</v>
      </c>
      <c r="O393" s="80">
        <f>SUM(O379:O392)</f>
        <v>3498.3900000000003</v>
      </c>
      <c r="P393" s="68">
        <f t="shared" si="241"/>
        <v>3474.4543333333336</v>
      </c>
      <c r="Q393" s="119">
        <f>P393*91</f>
        <v>316175.34433333337</v>
      </c>
      <c r="R393" s="94">
        <f>SUM(R379:R392)</f>
        <v>3506.53</v>
      </c>
      <c r="S393" s="80">
        <f>SUM(S379:S392)</f>
        <v>3494.739</v>
      </c>
      <c r="T393" s="81">
        <f>SUM(T379:T392)</f>
        <v>3526.8740000000003</v>
      </c>
      <c r="U393" s="68">
        <f t="shared" si="243"/>
        <v>3509.3809999999999</v>
      </c>
      <c r="V393" s="120">
        <f t="shared" si="244"/>
        <v>319353.67099999997</v>
      </c>
      <c r="W393" s="138">
        <f t="shared" si="245"/>
        <v>3446.2810000000004</v>
      </c>
      <c r="X393" s="69">
        <f>SUM(X379:X392)</f>
        <v>1257892.5649999997</v>
      </c>
    </row>
    <row r="394" spans="1:24" ht="16.5" thickBot="1" x14ac:dyDescent="0.3">
      <c r="A394" s="46" t="s">
        <v>140</v>
      </c>
      <c r="B394" s="35"/>
      <c r="C394" s="70"/>
      <c r="D394" s="70"/>
      <c r="E394" s="71"/>
      <c r="F394" s="98"/>
      <c r="G394" s="98"/>
      <c r="H394" s="72"/>
      <c r="I394" s="70" t="s">
        <v>236</v>
      </c>
      <c r="J394" s="71"/>
      <c r="K394" s="97"/>
      <c r="L394" s="97"/>
      <c r="M394" s="72"/>
      <c r="N394" s="70"/>
      <c r="O394" s="71"/>
      <c r="P394" s="97"/>
      <c r="Q394" s="97"/>
      <c r="R394" s="72"/>
      <c r="S394" s="70"/>
      <c r="T394" s="71"/>
      <c r="U394" s="71"/>
      <c r="V394" s="70"/>
      <c r="W394" s="96"/>
      <c r="X394" s="69" t="s">
        <v>0</v>
      </c>
    </row>
    <row r="395" spans="1:24" ht="25.5" customHeight="1" thickBot="1" x14ac:dyDescent="0.3">
      <c r="A395" s="49" t="s">
        <v>132</v>
      </c>
      <c r="B395" s="33"/>
      <c r="C395" s="6">
        <v>615</v>
      </c>
      <c r="D395" s="6">
        <v>614</v>
      </c>
      <c r="E395" s="6">
        <v>622</v>
      </c>
      <c r="F395" s="63">
        <f t="shared" ref="F395:F401" si="247">SUM(C395:E395)/3</f>
        <v>617</v>
      </c>
      <c r="G395" s="108">
        <f t="shared" ref="G395:G401" si="248">F395*92</f>
        <v>56764</v>
      </c>
      <c r="H395" s="6">
        <v>671</v>
      </c>
      <c r="I395" s="6">
        <v>640</v>
      </c>
      <c r="J395" s="6">
        <v>580</v>
      </c>
      <c r="K395" s="63">
        <f t="shared" ref="K395:K402" si="249">SUM(H395:J395)/3</f>
        <v>630.33333333333337</v>
      </c>
      <c r="L395" s="108">
        <f t="shared" ref="L395:L401" si="250">K395*92</f>
        <v>57990.666666666672</v>
      </c>
      <c r="M395" s="6">
        <v>607</v>
      </c>
      <c r="N395" s="73">
        <v>617</v>
      </c>
      <c r="O395" s="73">
        <v>610</v>
      </c>
      <c r="P395" s="63">
        <f t="shared" ref="P395:P402" si="251">SUM(M395:O395)/3</f>
        <v>611.33333333333337</v>
      </c>
      <c r="Q395" s="108">
        <f t="shared" ref="Q395:Q401" si="252">P395*90</f>
        <v>55020</v>
      </c>
      <c r="R395" s="6">
        <v>639</v>
      </c>
      <c r="S395" s="73">
        <v>636</v>
      </c>
      <c r="T395" s="74">
        <v>543</v>
      </c>
      <c r="U395" s="63">
        <f t="shared" ref="U395:U402" si="253">SUM(R395:T395)/3</f>
        <v>606</v>
      </c>
      <c r="V395" s="111">
        <f t="shared" ref="V395:V401" si="254">U395*91</f>
        <v>55146</v>
      </c>
      <c r="W395" s="64">
        <f t="shared" ref="W395:W400" si="255">SUM(C395+D395+E395+H395+I395+J395+M395+N395+O395+R395+S395+T395)/12</f>
        <v>616.16666666666663</v>
      </c>
      <c r="X395" s="65">
        <f t="shared" si="246"/>
        <v>224900.83333333331</v>
      </c>
    </row>
    <row r="396" spans="1:24" ht="16.5" thickBot="1" x14ac:dyDescent="0.3">
      <c r="A396" s="50" t="s">
        <v>133</v>
      </c>
      <c r="B396" s="34"/>
      <c r="C396" s="5">
        <v>9</v>
      </c>
      <c r="D396" s="5">
        <v>6</v>
      </c>
      <c r="E396" s="5">
        <v>8</v>
      </c>
      <c r="F396" s="63">
        <f t="shared" si="247"/>
        <v>7.666666666666667</v>
      </c>
      <c r="G396" s="108">
        <f t="shared" si="248"/>
        <v>705.33333333333337</v>
      </c>
      <c r="H396" s="5">
        <v>7</v>
      </c>
      <c r="I396" s="5">
        <v>6</v>
      </c>
      <c r="J396" s="5">
        <v>6</v>
      </c>
      <c r="K396" s="63">
        <f t="shared" si="249"/>
        <v>6.333333333333333</v>
      </c>
      <c r="L396" s="108">
        <f t="shared" si="250"/>
        <v>582.66666666666663</v>
      </c>
      <c r="M396" s="5">
        <v>4</v>
      </c>
      <c r="N396" s="75">
        <v>3</v>
      </c>
      <c r="O396" s="75">
        <v>5</v>
      </c>
      <c r="P396" s="63">
        <f t="shared" si="251"/>
        <v>4</v>
      </c>
      <c r="Q396" s="108">
        <f t="shared" si="252"/>
        <v>360</v>
      </c>
      <c r="R396" s="5">
        <v>3</v>
      </c>
      <c r="S396" s="75">
        <v>3</v>
      </c>
      <c r="T396" s="76">
        <v>2</v>
      </c>
      <c r="U396" s="63">
        <f t="shared" si="253"/>
        <v>2.6666666666666665</v>
      </c>
      <c r="V396" s="111">
        <f t="shared" si="254"/>
        <v>242.66666666666666</v>
      </c>
      <c r="W396" s="64">
        <f t="shared" si="255"/>
        <v>5.166666666666667</v>
      </c>
      <c r="X396" s="66">
        <f>W396*122</f>
        <v>630.33333333333337</v>
      </c>
    </row>
    <row r="397" spans="1:24" ht="16.5" thickBot="1" x14ac:dyDescent="0.3">
      <c r="A397" s="50" t="s">
        <v>135</v>
      </c>
      <c r="B397" s="34"/>
      <c r="C397" s="5">
        <v>27</v>
      </c>
      <c r="D397" s="5">
        <v>28</v>
      </c>
      <c r="E397" s="5">
        <v>30</v>
      </c>
      <c r="F397" s="63">
        <f t="shared" si="247"/>
        <v>28.333333333333332</v>
      </c>
      <c r="G397" s="108">
        <f t="shared" si="248"/>
        <v>2606.6666666666665</v>
      </c>
      <c r="H397" s="5">
        <v>26</v>
      </c>
      <c r="I397" s="5">
        <v>25</v>
      </c>
      <c r="J397" s="5">
        <v>29</v>
      </c>
      <c r="K397" s="63">
        <f t="shared" si="249"/>
        <v>26.666666666666668</v>
      </c>
      <c r="L397" s="108">
        <f t="shared" si="250"/>
        <v>2453.3333333333335</v>
      </c>
      <c r="M397" s="5">
        <v>30</v>
      </c>
      <c r="N397" s="75">
        <v>30</v>
      </c>
      <c r="O397" s="75">
        <v>32</v>
      </c>
      <c r="P397" s="63">
        <f t="shared" si="251"/>
        <v>30.666666666666668</v>
      </c>
      <c r="Q397" s="108">
        <f t="shared" si="252"/>
        <v>2760</v>
      </c>
      <c r="R397" s="5">
        <v>26</v>
      </c>
      <c r="S397" s="75">
        <v>27</v>
      </c>
      <c r="T397" s="76">
        <v>25</v>
      </c>
      <c r="U397" s="63">
        <f t="shared" si="253"/>
        <v>26</v>
      </c>
      <c r="V397" s="111">
        <f t="shared" si="254"/>
        <v>2366</v>
      </c>
      <c r="W397" s="64">
        <f t="shared" si="255"/>
        <v>27.916666666666668</v>
      </c>
      <c r="X397" s="66">
        <f t="shared" si="246"/>
        <v>10189.583333333334</v>
      </c>
    </row>
    <row r="398" spans="1:24" ht="16.5" thickBot="1" x14ac:dyDescent="0.3">
      <c r="A398" s="50" t="s">
        <v>134</v>
      </c>
      <c r="B398" s="34"/>
      <c r="C398" s="5">
        <v>113</v>
      </c>
      <c r="D398" s="5">
        <v>107</v>
      </c>
      <c r="E398" s="5">
        <v>107</v>
      </c>
      <c r="F398" s="63">
        <f t="shared" si="247"/>
        <v>109</v>
      </c>
      <c r="G398" s="108">
        <f t="shared" si="248"/>
        <v>10028</v>
      </c>
      <c r="H398" s="5">
        <v>107</v>
      </c>
      <c r="I398" s="5">
        <v>122</v>
      </c>
      <c r="J398" s="5">
        <v>118</v>
      </c>
      <c r="K398" s="63">
        <f t="shared" si="249"/>
        <v>115.66666666666667</v>
      </c>
      <c r="L398" s="108">
        <f t="shared" si="250"/>
        <v>10641.333333333334</v>
      </c>
      <c r="M398" s="5">
        <v>99</v>
      </c>
      <c r="N398" s="75">
        <v>113</v>
      </c>
      <c r="O398" s="75">
        <v>103</v>
      </c>
      <c r="P398" s="63">
        <f t="shared" si="251"/>
        <v>105</v>
      </c>
      <c r="Q398" s="108">
        <f t="shared" si="252"/>
        <v>9450</v>
      </c>
      <c r="R398" s="5">
        <v>102</v>
      </c>
      <c r="S398" s="75">
        <v>111</v>
      </c>
      <c r="T398" s="76">
        <v>151</v>
      </c>
      <c r="U398" s="63">
        <f t="shared" si="253"/>
        <v>121.33333333333333</v>
      </c>
      <c r="V398" s="111">
        <f t="shared" si="254"/>
        <v>11041.333333333332</v>
      </c>
      <c r="W398" s="64">
        <f t="shared" si="255"/>
        <v>112.75</v>
      </c>
      <c r="X398" s="66">
        <f>W398*61</f>
        <v>6877.75</v>
      </c>
    </row>
    <row r="399" spans="1:24" ht="16.5" thickBot="1" x14ac:dyDescent="0.3">
      <c r="A399" s="50" t="s">
        <v>136</v>
      </c>
      <c r="B399" s="34"/>
      <c r="C399" s="5">
        <v>754</v>
      </c>
      <c r="D399" s="5">
        <v>753</v>
      </c>
      <c r="E399" s="5">
        <v>764</v>
      </c>
      <c r="F399" s="63">
        <f t="shared" si="247"/>
        <v>757</v>
      </c>
      <c r="G399" s="108">
        <f t="shared" si="248"/>
        <v>69644</v>
      </c>
      <c r="H399" s="5">
        <v>768</v>
      </c>
      <c r="I399" s="5">
        <v>769</v>
      </c>
      <c r="J399" s="5">
        <v>766</v>
      </c>
      <c r="K399" s="63">
        <f t="shared" si="249"/>
        <v>767.66666666666663</v>
      </c>
      <c r="L399" s="108">
        <f t="shared" si="250"/>
        <v>70625.333333333328</v>
      </c>
      <c r="M399" s="5">
        <v>766</v>
      </c>
      <c r="N399" s="75">
        <v>775</v>
      </c>
      <c r="O399" s="75">
        <v>759</v>
      </c>
      <c r="P399" s="63">
        <f t="shared" si="251"/>
        <v>766.66666666666663</v>
      </c>
      <c r="Q399" s="108">
        <f t="shared" si="252"/>
        <v>69000</v>
      </c>
      <c r="R399" s="5">
        <v>780</v>
      </c>
      <c r="S399" s="75">
        <v>828</v>
      </c>
      <c r="T399" s="76">
        <v>778</v>
      </c>
      <c r="U399" s="63">
        <f t="shared" si="253"/>
        <v>795.33333333333337</v>
      </c>
      <c r="V399" s="111">
        <f t="shared" si="254"/>
        <v>72375.333333333343</v>
      </c>
      <c r="W399" s="64">
        <f t="shared" si="255"/>
        <v>771.66666666666663</v>
      </c>
      <c r="X399" s="66">
        <f t="shared" si="246"/>
        <v>281658.33333333331</v>
      </c>
    </row>
    <row r="400" spans="1:24" ht="16.5" thickBot="1" x14ac:dyDescent="0.3">
      <c r="A400" s="50" t="s">
        <v>137</v>
      </c>
      <c r="B400" s="34"/>
      <c r="C400" s="5">
        <v>17</v>
      </c>
      <c r="D400" s="5">
        <v>17</v>
      </c>
      <c r="E400" s="5">
        <v>17</v>
      </c>
      <c r="F400" s="63">
        <f t="shared" si="247"/>
        <v>17</v>
      </c>
      <c r="G400" s="108">
        <f t="shared" si="248"/>
        <v>1564</v>
      </c>
      <c r="H400" s="5">
        <v>17</v>
      </c>
      <c r="I400" s="5">
        <v>17</v>
      </c>
      <c r="J400" s="5">
        <v>17</v>
      </c>
      <c r="K400" s="63">
        <f t="shared" si="249"/>
        <v>17</v>
      </c>
      <c r="L400" s="108">
        <f t="shared" si="250"/>
        <v>1564</v>
      </c>
      <c r="M400" s="5">
        <v>17</v>
      </c>
      <c r="N400" s="75">
        <v>17</v>
      </c>
      <c r="O400" s="75">
        <v>17</v>
      </c>
      <c r="P400" s="63">
        <f t="shared" si="251"/>
        <v>17</v>
      </c>
      <c r="Q400" s="108">
        <f t="shared" si="252"/>
        <v>1530</v>
      </c>
      <c r="R400" s="5">
        <v>16</v>
      </c>
      <c r="S400" s="75">
        <v>17</v>
      </c>
      <c r="T400" s="76">
        <v>48</v>
      </c>
      <c r="U400" s="63">
        <f t="shared" si="253"/>
        <v>27</v>
      </c>
      <c r="V400" s="112">
        <f t="shared" si="254"/>
        <v>2457</v>
      </c>
      <c r="W400" s="64">
        <f t="shared" si="255"/>
        <v>19.5</v>
      </c>
      <c r="X400" s="66">
        <f t="shared" si="246"/>
        <v>7117.5</v>
      </c>
    </row>
    <row r="401" spans="1:24" ht="16.5" thickBot="1" x14ac:dyDescent="0.3">
      <c r="A401" s="53" t="s">
        <v>141</v>
      </c>
      <c r="B401" s="37"/>
      <c r="C401" s="80">
        <f>SUM(C395:C400)</f>
        <v>1535</v>
      </c>
      <c r="D401" s="80">
        <f>SUM(D395:D400)</f>
        <v>1525</v>
      </c>
      <c r="E401" s="80">
        <f>SUM(E395:E400)</f>
        <v>1548</v>
      </c>
      <c r="F401" s="68">
        <f t="shared" si="247"/>
        <v>1536</v>
      </c>
      <c r="G401" s="108">
        <f t="shared" si="248"/>
        <v>141312</v>
      </c>
      <c r="H401" s="94">
        <f>SUM(H395:H400)</f>
        <v>1596</v>
      </c>
      <c r="I401" s="80">
        <f>SUM(I395:I400)</f>
        <v>1579</v>
      </c>
      <c r="J401" s="80">
        <f>SUM(J395:J400)</f>
        <v>1516</v>
      </c>
      <c r="K401" s="68">
        <f t="shared" si="249"/>
        <v>1563.6666666666667</v>
      </c>
      <c r="L401" s="119">
        <f t="shared" si="250"/>
        <v>143857.33333333334</v>
      </c>
      <c r="M401" s="94">
        <f>SUM(M395:M400)</f>
        <v>1523</v>
      </c>
      <c r="N401" s="80">
        <f>SUM(N395:N400)</f>
        <v>1555</v>
      </c>
      <c r="O401" s="80">
        <f>SUM(O395:O400)</f>
        <v>1526</v>
      </c>
      <c r="P401" s="68">
        <f t="shared" si="251"/>
        <v>1534.6666666666667</v>
      </c>
      <c r="Q401" s="119">
        <f t="shared" si="252"/>
        <v>138120</v>
      </c>
      <c r="R401" s="94">
        <f>SUM(R395:R400)</f>
        <v>1566</v>
      </c>
      <c r="S401" s="80">
        <f>SUM(S395:S400)</f>
        <v>1622</v>
      </c>
      <c r="T401" s="81">
        <f>SUM(T395:T400)</f>
        <v>1547</v>
      </c>
      <c r="U401" s="68">
        <f t="shared" si="253"/>
        <v>1578.3333333333333</v>
      </c>
      <c r="V401" s="120">
        <f t="shared" si="254"/>
        <v>143628.33333333331</v>
      </c>
      <c r="W401" s="69">
        <f>SUM(W395:W400)</f>
        <v>1553.1666666666665</v>
      </c>
      <c r="X401" s="69">
        <f>SUM(X395:X400)</f>
        <v>531374.33333333326</v>
      </c>
    </row>
    <row r="402" spans="1:24" ht="16.5" thickBot="1" x14ac:dyDescent="0.3">
      <c r="A402" s="54" t="s">
        <v>145</v>
      </c>
      <c r="B402" s="38"/>
      <c r="C402" s="80">
        <f>C393+C401</f>
        <v>4892.2299999999996</v>
      </c>
      <c r="D402" s="80">
        <f>D393+D401</f>
        <v>4911.4030000000002</v>
      </c>
      <c r="E402" s="80">
        <f>E393+E401</f>
        <v>4977.2700000000004</v>
      </c>
      <c r="F402" s="80">
        <f>F393+F401</f>
        <v>4926.9676666666674</v>
      </c>
      <c r="G402" s="68">
        <f>SUM(G393+G401)</f>
        <v>453281.02533333335</v>
      </c>
      <c r="H402" s="80">
        <f>H393+H401</f>
        <v>5065.2790000000005</v>
      </c>
      <c r="I402" s="80">
        <f>I393+I401</f>
        <v>4957.424</v>
      </c>
      <c r="J402" s="80">
        <f>J393+J401</f>
        <v>4899.26</v>
      </c>
      <c r="K402" s="120">
        <f t="shared" si="249"/>
        <v>4973.9876666666669</v>
      </c>
      <c r="L402" s="68">
        <f>SUM(L393+L401)</f>
        <v>457606.86533333338</v>
      </c>
      <c r="M402" s="94">
        <f>M393+M401</f>
        <v>5001.7099999999991</v>
      </c>
      <c r="N402" s="80">
        <f>N393+N401</f>
        <v>5001.2629999999999</v>
      </c>
      <c r="O402" s="80">
        <f>O393+O401</f>
        <v>5024.3900000000003</v>
      </c>
      <c r="P402" s="99">
        <f t="shared" si="251"/>
        <v>5009.1209999999992</v>
      </c>
      <c r="Q402" s="68">
        <f>SUM(Q393+Q401)</f>
        <v>454295.34433333337</v>
      </c>
      <c r="R402" s="94">
        <f>R393+R401</f>
        <v>5072.5300000000007</v>
      </c>
      <c r="S402" s="80">
        <f>S393+S401</f>
        <v>5116.7389999999996</v>
      </c>
      <c r="T402" s="81">
        <f>T393+T401</f>
        <v>5073.8739999999998</v>
      </c>
      <c r="U402" s="99">
        <f t="shared" si="253"/>
        <v>5087.7143333333333</v>
      </c>
      <c r="V402" s="68">
        <f>SUM(V393+V401)</f>
        <v>462982.00433333329</v>
      </c>
      <c r="W402" s="80">
        <f>W393+W401</f>
        <v>4999.4476666666669</v>
      </c>
      <c r="X402" s="82">
        <f>X393+X401</f>
        <v>1789266.898333333</v>
      </c>
    </row>
    <row r="403" spans="1:24" ht="15.75" x14ac:dyDescent="0.25">
      <c r="A403" s="114"/>
      <c r="B403" s="19"/>
      <c r="C403" s="115"/>
      <c r="D403" s="115"/>
      <c r="E403" s="115"/>
      <c r="F403" s="113"/>
      <c r="G403" s="93"/>
      <c r="H403" s="115"/>
      <c r="I403" s="115"/>
      <c r="J403" s="115"/>
      <c r="K403" s="113"/>
      <c r="L403" s="93"/>
      <c r="M403" s="115"/>
      <c r="N403" s="115"/>
      <c r="O403" s="115"/>
      <c r="P403" s="113"/>
      <c r="Q403" s="93"/>
      <c r="R403" s="115"/>
      <c r="S403" s="115"/>
      <c r="T403" s="115"/>
      <c r="U403" s="113"/>
      <c r="V403" s="93"/>
      <c r="W403" s="115"/>
      <c r="X403" s="115"/>
    </row>
    <row r="405" spans="1:24" ht="16.5" thickBot="1" x14ac:dyDescent="0.25">
      <c r="A405" s="45" t="s">
        <v>144</v>
      </c>
      <c r="B405" s="10"/>
      <c r="C405" s="13"/>
      <c r="D405" s="13"/>
      <c r="E405" s="13"/>
      <c r="F405" s="13"/>
      <c r="G405" s="13"/>
      <c r="H405" s="13"/>
      <c r="I405" s="13"/>
      <c r="J405" s="13"/>
      <c r="K405" s="13"/>
      <c r="L405" s="13"/>
      <c r="M405" s="13"/>
      <c r="N405" s="13"/>
      <c r="O405" s="13"/>
      <c r="P405" s="13"/>
      <c r="Q405" s="13"/>
      <c r="R405" s="13"/>
      <c r="S405" s="13"/>
      <c r="T405" s="13"/>
      <c r="U405" s="13"/>
      <c r="V405" s="13"/>
      <c r="W405" s="13"/>
      <c r="X405" s="13"/>
    </row>
    <row r="406" spans="1:24" ht="16.5" thickBot="1" x14ac:dyDescent="0.3">
      <c r="A406" s="32" t="s">
        <v>264</v>
      </c>
      <c r="B406" s="1055" t="s">
        <v>142</v>
      </c>
      <c r="C406" s="1060"/>
      <c r="D406" s="1060"/>
      <c r="E406" s="1060"/>
      <c r="F406" s="1060"/>
      <c r="G406" s="1060"/>
      <c r="H406" s="1060"/>
      <c r="I406" s="1060"/>
      <c r="J406" s="1060"/>
      <c r="K406" s="1060"/>
      <c r="L406" s="1060"/>
      <c r="M406" s="1060"/>
      <c r="N406" s="1060"/>
      <c r="O406" s="1060"/>
      <c r="P406" s="1060"/>
      <c r="Q406" s="1060"/>
      <c r="R406" s="1060"/>
      <c r="S406" s="1060"/>
      <c r="T406" s="1060"/>
      <c r="U406" s="39"/>
      <c r="V406" s="39"/>
      <c r="W406" s="92"/>
      <c r="X406" s="13"/>
    </row>
    <row r="407" spans="1:24" ht="15.75" x14ac:dyDescent="0.25">
      <c r="A407" s="11"/>
      <c r="B407" s="40" t="s">
        <v>245</v>
      </c>
      <c r="C407" s="57"/>
      <c r="D407" s="58"/>
      <c r="E407" s="58"/>
      <c r="F407" s="1047" t="s">
        <v>242</v>
      </c>
      <c r="G407" s="1039" t="s">
        <v>262</v>
      </c>
      <c r="H407" s="58"/>
      <c r="I407" s="58"/>
      <c r="J407" s="58"/>
      <c r="K407" s="1047" t="s">
        <v>242</v>
      </c>
      <c r="L407" s="1039" t="s">
        <v>262</v>
      </c>
      <c r="M407" s="58"/>
      <c r="N407" s="58"/>
      <c r="O407" s="58"/>
      <c r="P407" s="1047" t="s">
        <v>242</v>
      </c>
      <c r="Q407" s="1039" t="s">
        <v>262</v>
      </c>
      <c r="R407" s="58"/>
      <c r="S407" s="58"/>
      <c r="T407" s="59"/>
      <c r="U407" s="1047" t="s">
        <v>242</v>
      </c>
      <c r="V407" s="1039" t="s">
        <v>262</v>
      </c>
      <c r="W407" s="1041" t="s">
        <v>143</v>
      </c>
      <c r="X407" s="1043" t="s">
        <v>144</v>
      </c>
    </row>
    <row r="408" spans="1:24" ht="21" customHeight="1" thickBot="1" x14ac:dyDescent="0.3">
      <c r="A408" s="47" t="s">
        <v>55</v>
      </c>
      <c r="B408" s="41" t="s">
        <v>246</v>
      </c>
      <c r="C408" s="60">
        <v>38169</v>
      </c>
      <c r="D408" s="61">
        <v>38200</v>
      </c>
      <c r="E408" s="61">
        <v>38231</v>
      </c>
      <c r="F408" s="1048"/>
      <c r="G408" s="1057"/>
      <c r="H408" s="61">
        <v>38261</v>
      </c>
      <c r="I408" s="61">
        <v>38292</v>
      </c>
      <c r="J408" s="61">
        <v>38322</v>
      </c>
      <c r="K408" s="1057"/>
      <c r="L408" s="1057"/>
      <c r="M408" s="61">
        <v>38353</v>
      </c>
      <c r="N408" s="61">
        <v>38388</v>
      </c>
      <c r="O408" s="61">
        <v>38416</v>
      </c>
      <c r="P408" s="1057"/>
      <c r="Q408" s="1057"/>
      <c r="R408" s="61">
        <v>38447</v>
      </c>
      <c r="S408" s="61">
        <v>38477</v>
      </c>
      <c r="T408" s="62">
        <v>38508</v>
      </c>
      <c r="U408" s="1057"/>
      <c r="V408" s="1057"/>
      <c r="W408" s="1057"/>
      <c r="X408" s="1057"/>
    </row>
    <row r="409" spans="1:24" ht="16.5" hidden="1" customHeight="1" thickBot="1" x14ac:dyDescent="0.3">
      <c r="A409" s="48" t="s">
        <v>228</v>
      </c>
      <c r="B409" s="42" t="s">
        <v>247</v>
      </c>
      <c r="C409" s="125">
        <v>403.1</v>
      </c>
      <c r="D409" s="125">
        <v>421.16</v>
      </c>
      <c r="E409" s="117">
        <v>461</v>
      </c>
      <c r="F409" s="63">
        <f t="shared" ref="F409:F417" si="256">SUM(C409:E409)/3</f>
        <v>428.42</v>
      </c>
      <c r="G409" s="108">
        <f t="shared" ref="G409:G423" si="257">F409*92</f>
        <v>39414.639999999999</v>
      </c>
      <c r="H409" s="117">
        <v>429</v>
      </c>
      <c r="I409" s="117">
        <v>410.8</v>
      </c>
      <c r="J409" s="117">
        <v>412.13</v>
      </c>
      <c r="K409" s="63">
        <f t="shared" ref="K409:K417" si="258">SUM(H409:J409)/3</f>
        <v>417.30999999999995</v>
      </c>
      <c r="L409" s="108">
        <f t="shared" ref="L409:L423" si="259">K409*92</f>
        <v>38392.519999999997</v>
      </c>
      <c r="M409" s="117">
        <v>414.77</v>
      </c>
      <c r="N409" s="85">
        <v>430.57</v>
      </c>
      <c r="O409" s="85">
        <v>437.48</v>
      </c>
      <c r="P409" s="63">
        <f t="shared" ref="P409:P417" si="260">SUM(M409:O409)/3</f>
        <v>427.60666666666663</v>
      </c>
      <c r="Q409" s="108">
        <f t="shared" ref="Q409:Q421" si="261">P409*90</f>
        <v>38484.6</v>
      </c>
      <c r="R409" s="117">
        <v>432.97</v>
      </c>
      <c r="S409" s="85">
        <v>433.84</v>
      </c>
      <c r="T409" s="135">
        <v>424.43</v>
      </c>
      <c r="U409" s="63">
        <f t="shared" ref="U409:U417" si="262">SUM(R409:T409)/3</f>
        <v>430.41333333333336</v>
      </c>
      <c r="V409" s="111">
        <f>U409*92</f>
        <v>39598.026666666672</v>
      </c>
      <c r="W409" s="64">
        <f t="shared" ref="W409:W423" si="263">SUM(C409+D409+E409+H409+I409+J409+M409+N409+O409+R409+S409+T409)/12</f>
        <v>425.93750000000006</v>
      </c>
      <c r="X409" s="65">
        <f>W409*365</f>
        <v>155467.18750000003</v>
      </c>
    </row>
    <row r="410" spans="1:24" ht="16.5" hidden="1" thickBot="1" x14ac:dyDescent="0.3">
      <c r="A410" s="49" t="s">
        <v>127</v>
      </c>
      <c r="B410" s="43" t="s">
        <v>248</v>
      </c>
      <c r="C410" s="126">
        <v>119.26</v>
      </c>
      <c r="D410" s="126">
        <v>107.35</v>
      </c>
      <c r="E410" s="118">
        <v>113</v>
      </c>
      <c r="F410" s="63">
        <f t="shared" si="256"/>
        <v>113.20333333333333</v>
      </c>
      <c r="G410" s="108">
        <f t="shared" si="257"/>
        <v>10414.706666666667</v>
      </c>
      <c r="H410" s="118">
        <v>108</v>
      </c>
      <c r="I410" s="118">
        <v>103.67</v>
      </c>
      <c r="J410" s="118">
        <v>105.61</v>
      </c>
      <c r="K410" s="63">
        <f t="shared" si="258"/>
        <v>105.76</v>
      </c>
      <c r="L410" s="108">
        <f t="shared" si="259"/>
        <v>9729.92</v>
      </c>
      <c r="M410" s="118">
        <v>107.9</v>
      </c>
      <c r="N410" s="86">
        <v>110.64</v>
      </c>
      <c r="O410" s="86">
        <v>111.32</v>
      </c>
      <c r="P410" s="63">
        <f t="shared" si="260"/>
        <v>109.95333333333333</v>
      </c>
      <c r="Q410" s="108">
        <f t="shared" si="261"/>
        <v>9895.7999999999993</v>
      </c>
      <c r="R410" s="118">
        <v>122.27</v>
      </c>
      <c r="S410" s="86">
        <v>112.23</v>
      </c>
      <c r="T410" s="89">
        <v>105.27</v>
      </c>
      <c r="U410" s="63">
        <f t="shared" si="262"/>
        <v>113.25666666666666</v>
      </c>
      <c r="V410" s="111">
        <f t="shared" ref="V410:V423" si="264">U410*91</f>
        <v>10306.356666666667</v>
      </c>
      <c r="W410" s="64">
        <f t="shared" si="263"/>
        <v>110.54333333333334</v>
      </c>
      <c r="X410" s="65">
        <f>W410*365</f>
        <v>40348.316666666666</v>
      </c>
    </row>
    <row r="411" spans="1:24" ht="16.5" hidden="1" thickBot="1" x14ac:dyDescent="0.3">
      <c r="A411" s="50" t="s">
        <v>128</v>
      </c>
      <c r="B411" s="44" t="s">
        <v>249</v>
      </c>
      <c r="C411" s="4">
        <v>399.1</v>
      </c>
      <c r="D411" s="4">
        <v>405.87</v>
      </c>
      <c r="E411" s="3">
        <v>436</v>
      </c>
      <c r="F411" s="63">
        <f t="shared" si="256"/>
        <v>413.65666666666669</v>
      </c>
      <c r="G411" s="108">
        <f t="shared" si="257"/>
        <v>38056.413333333338</v>
      </c>
      <c r="H411" s="3">
        <v>415</v>
      </c>
      <c r="I411" s="3">
        <v>406.77</v>
      </c>
      <c r="J411" s="3">
        <v>405.81</v>
      </c>
      <c r="K411" s="63">
        <f t="shared" si="258"/>
        <v>409.19333333333333</v>
      </c>
      <c r="L411" s="108">
        <f t="shared" si="259"/>
        <v>37645.786666666667</v>
      </c>
      <c r="M411" s="3">
        <v>412.16</v>
      </c>
      <c r="N411" s="87">
        <v>416.32</v>
      </c>
      <c r="O411" s="87">
        <v>418.9</v>
      </c>
      <c r="P411" s="63">
        <f t="shared" si="260"/>
        <v>415.79333333333335</v>
      </c>
      <c r="Q411" s="108">
        <f t="shared" si="261"/>
        <v>37421.4</v>
      </c>
      <c r="R411" s="3">
        <v>412.6</v>
      </c>
      <c r="S411" s="87">
        <v>410.19</v>
      </c>
      <c r="T411" s="90">
        <v>377.67</v>
      </c>
      <c r="U411" s="63">
        <f t="shared" si="262"/>
        <v>400.15333333333336</v>
      </c>
      <c r="V411" s="111">
        <f t="shared" si="264"/>
        <v>36413.953333333338</v>
      </c>
      <c r="W411" s="64">
        <f t="shared" si="263"/>
        <v>409.6991666666666</v>
      </c>
      <c r="X411" s="66">
        <f t="shared" ref="X411:X430" si="265">W411*365</f>
        <v>149540.1958333333</v>
      </c>
    </row>
    <row r="412" spans="1:24" ht="15" customHeight="1" thickBot="1" x14ac:dyDescent="0.3">
      <c r="A412" s="50" t="s">
        <v>24</v>
      </c>
      <c r="B412" s="44" t="s">
        <v>250</v>
      </c>
      <c r="C412" s="4">
        <v>214.29</v>
      </c>
      <c r="D412" s="4">
        <v>220.71</v>
      </c>
      <c r="E412" s="3">
        <v>223</v>
      </c>
      <c r="F412" s="63">
        <f t="shared" si="256"/>
        <v>219.33333333333334</v>
      </c>
      <c r="G412" s="108">
        <f t="shared" si="257"/>
        <v>20178.666666666668</v>
      </c>
      <c r="H412" s="3">
        <v>225</v>
      </c>
      <c r="I412" s="3">
        <v>219.67</v>
      </c>
      <c r="J412" s="3">
        <v>205.97</v>
      </c>
      <c r="K412" s="63">
        <f t="shared" si="258"/>
        <v>216.88</v>
      </c>
      <c r="L412" s="108">
        <f t="shared" si="259"/>
        <v>19952.96</v>
      </c>
      <c r="M412" s="3">
        <v>227.74</v>
      </c>
      <c r="N412" s="87">
        <v>224</v>
      </c>
      <c r="O412" s="87">
        <v>235.77</v>
      </c>
      <c r="P412" s="63">
        <f t="shared" si="260"/>
        <v>229.17</v>
      </c>
      <c r="Q412" s="108">
        <f t="shared" si="261"/>
        <v>20625.3</v>
      </c>
      <c r="R412" s="3">
        <v>232.5</v>
      </c>
      <c r="S412" s="87">
        <v>227.23</v>
      </c>
      <c r="T412" s="90">
        <v>234.4</v>
      </c>
      <c r="U412" s="63">
        <f t="shared" si="262"/>
        <v>231.37666666666667</v>
      </c>
      <c r="V412" s="111">
        <f t="shared" si="264"/>
        <v>21055.276666666665</v>
      </c>
      <c r="W412" s="64">
        <f t="shared" si="263"/>
        <v>224.19000000000003</v>
      </c>
      <c r="X412" s="66">
        <f t="shared" si="265"/>
        <v>81829.350000000006</v>
      </c>
    </row>
    <row r="413" spans="1:24" ht="32.25" customHeight="1" thickBot="1" x14ac:dyDescent="0.3">
      <c r="A413" s="51" t="s">
        <v>259</v>
      </c>
      <c r="B413" s="44" t="s">
        <v>251</v>
      </c>
      <c r="C413" s="4">
        <v>311.67</v>
      </c>
      <c r="D413" s="4">
        <v>315.77</v>
      </c>
      <c r="E413" s="3">
        <v>321</v>
      </c>
      <c r="F413" s="63">
        <f t="shared" si="256"/>
        <v>316.1466666666667</v>
      </c>
      <c r="G413" s="108">
        <f t="shared" si="257"/>
        <v>29085.493333333336</v>
      </c>
      <c r="H413" s="3">
        <v>310</v>
      </c>
      <c r="I413" s="3">
        <v>315.95999999999998</v>
      </c>
      <c r="J413" s="3">
        <v>289.77</v>
      </c>
      <c r="K413" s="63">
        <f t="shared" si="258"/>
        <v>305.24333333333334</v>
      </c>
      <c r="L413" s="108">
        <f t="shared" si="259"/>
        <v>28082.386666666665</v>
      </c>
      <c r="M413" s="3">
        <v>296</v>
      </c>
      <c r="N413" s="87">
        <v>313.18</v>
      </c>
      <c r="O413" s="87">
        <v>311.02999999999997</v>
      </c>
      <c r="P413" s="63">
        <f t="shared" si="260"/>
        <v>306.73666666666668</v>
      </c>
      <c r="Q413" s="108">
        <f t="shared" si="261"/>
        <v>27606.300000000003</v>
      </c>
      <c r="R413" s="3">
        <v>318.07</v>
      </c>
      <c r="S413" s="87">
        <v>312.17</v>
      </c>
      <c r="T413" s="90">
        <v>323.06700000000001</v>
      </c>
      <c r="U413" s="63">
        <f t="shared" si="262"/>
        <v>317.76900000000001</v>
      </c>
      <c r="V413" s="111">
        <f t="shared" si="264"/>
        <v>28916.978999999999</v>
      </c>
      <c r="W413" s="64">
        <f t="shared" si="263"/>
        <v>311.4739166666667</v>
      </c>
      <c r="X413" s="66">
        <f t="shared" si="265"/>
        <v>113687.97958333335</v>
      </c>
    </row>
    <row r="414" spans="1:24" ht="16.5" thickBot="1" x14ac:dyDescent="0.3">
      <c r="A414" s="50" t="s">
        <v>15</v>
      </c>
      <c r="B414" s="44" t="s">
        <v>252</v>
      </c>
      <c r="C414" s="4">
        <v>61.097000000000001</v>
      </c>
      <c r="D414" s="4">
        <v>64.677000000000007</v>
      </c>
      <c r="E414" s="3">
        <v>69</v>
      </c>
      <c r="F414" s="63">
        <f t="shared" si="256"/>
        <v>64.924666666666667</v>
      </c>
      <c r="G414" s="108">
        <f t="shared" si="257"/>
        <v>5973.0693333333329</v>
      </c>
      <c r="H414" s="3">
        <v>69</v>
      </c>
      <c r="I414" s="3">
        <v>64</v>
      </c>
      <c r="J414" s="3">
        <v>67</v>
      </c>
      <c r="K414" s="63">
        <f t="shared" si="258"/>
        <v>66.666666666666671</v>
      </c>
      <c r="L414" s="108">
        <f t="shared" si="259"/>
        <v>6133.3333333333339</v>
      </c>
      <c r="M414" s="3">
        <v>66.87</v>
      </c>
      <c r="N414" s="87">
        <v>58.28</v>
      </c>
      <c r="O414" s="87">
        <v>57.935000000000002</v>
      </c>
      <c r="P414" s="63">
        <f t="shared" si="260"/>
        <v>61.028333333333336</v>
      </c>
      <c r="Q414" s="108">
        <f t="shared" si="261"/>
        <v>5492.55</v>
      </c>
      <c r="R414" s="3">
        <v>58.2</v>
      </c>
      <c r="S414" s="87">
        <v>57.968000000000004</v>
      </c>
      <c r="T414" s="90">
        <v>65</v>
      </c>
      <c r="U414" s="63">
        <f t="shared" si="262"/>
        <v>60.389333333333333</v>
      </c>
      <c r="V414" s="111">
        <f t="shared" si="264"/>
        <v>5495.4293333333335</v>
      </c>
      <c r="W414" s="64">
        <f t="shared" si="263"/>
        <v>63.252249999999997</v>
      </c>
      <c r="X414" s="66">
        <f t="shared" si="265"/>
        <v>23087.071249999997</v>
      </c>
    </row>
    <row r="415" spans="1:24" ht="16.5" thickBot="1" x14ac:dyDescent="0.3">
      <c r="A415" s="50" t="s">
        <v>16</v>
      </c>
      <c r="B415" s="44" t="s">
        <v>253</v>
      </c>
      <c r="C415" s="4">
        <v>180.32</v>
      </c>
      <c r="D415" s="4">
        <v>175.48</v>
      </c>
      <c r="E415" s="3">
        <v>194</v>
      </c>
      <c r="F415" s="63">
        <f t="shared" si="256"/>
        <v>183.26666666666665</v>
      </c>
      <c r="G415" s="108">
        <f t="shared" si="257"/>
        <v>16860.533333333333</v>
      </c>
      <c r="H415" s="3">
        <v>203</v>
      </c>
      <c r="I415" s="3">
        <v>190.37</v>
      </c>
      <c r="J415" s="3">
        <v>178.03</v>
      </c>
      <c r="K415" s="63">
        <f t="shared" si="258"/>
        <v>190.46666666666667</v>
      </c>
      <c r="L415" s="108">
        <f t="shared" si="259"/>
        <v>17522.933333333334</v>
      </c>
      <c r="M415" s="3">
        <v>183.94</v>
      </c>
      <c r="N415" s="87">
        <v>168.86</v>
      </c>
      <c r="O415" s="87">
        <v>160</v>
      </c>
      <c r="P415" s="63">
        <f t="shared" si="260"/>
        <v>170.93333333333331</v>
      </c>
      <c r="Q415" s="108">
        <f t="shared" si="261"/>
        <v>15383.999999999998</v>
      </c>
      <c r="R415" s="3">
        <v>170.07</v>
      </c>
      <c r="S415" s="87">
        <v>164.32</v>
      </c>
      <c r="T415" s="90">
        <v>170.6</v>
      </c>
      <c r="U415" s="63">
        <f t="shared" si="262"/>
        <v>168.33</v>
      </c>
      <c r="V415" s="111">
        <f t="shared" si="264"/>
        <v>15318.03</v>
      </c>
      <c r="W415" s="64">
        <f t="shared" si="263"/>
        <v>178.24916666666664</v>
      </c>
      <c r="X415" s="66">
        <f t="shared" si="265"/>
        <v>65060.945833333324</v>
      </c>
    </row>
    <row r="416" spans="1:24" ht="16.5" thickBot="1" x14ac:dyDescent="0.3">
      <c r="A416" s="50" t="s">
        <v>129</v>
      </c>
      <c r="B416" s="44" t="s">
        <v>254</v>
      </c>
      <c r="C416" s="4">
        <v>85.129000000000005</v>
      </c>
      <c r="D416" s="4">
        <v>93</v>
      </c>
      <c r="E416" s="3">
        <v>96</v>
      </c>
      <c r="F416" s="63">
        <f t="shared" si="256"/>
        <v>91.376333333333335</v>
      </c>
      <c r="G416" s="108">
        <f t="shared" si="257"/>
        <v>8406.6226666666662</v>
      </c>
      <c r="H416" s="3">
        <v>93</v>
      </c>
      <c r="I416" s="3">
        <v>96.6</v>
      </c>
      <c r="J416" s="3">
        <v>88.48</v>
      </c>
      <c r="K416" s="63">
        <f t="shared" si="258"/>
        <v>92.693333333333328</v>
      </c>
      <c r="L416" s="108">
        <f t="shared" si="259"/>
        <v>8527.7866666666669</v>
      </c>
      <c r="M416" s="3">
        <v>94.49</v>
      </c>
      <c r="N416" s="87">
        <v>100.89</v>
      </c>
      <c r="O416" s="87">
        <v>101</v>
      </c>
      <c r="P416" s="63">
        <f t="shared" si="260"/>
        <v>98.793333333333337</v>
      </c>
      <c r="Q416" s="108">
        <f t="shared" si="261"/>
        <v>8891.4</v>
      </c>
      <c r="R416" s="3">
        <v>98.53</v>
      </c>
      <c r="S416" s="87">
        <v>97.903000000000006</v>
      </c>
      <c r="T416" s="90">
        <v>99.3</v>
      </c>
      <c r="U416" s="63">
        <f t="shared" si="262"/>
        <v>98.577666666666673</v>
      </c>
      <c r="V416" s="111">
        <f t="shared" si="264"/>
        <v>8970.5676666666677</v>
      </c>
      <c r="W416" s="64">
        <f t="shared" si="263"/>
        <v>95.360166666666657</v>
      </c>
      <c r="X416" s="66">
        <f t="shared" si="265"/>
        <v>34806.460833333331</v>
      </c>
    </row>
    <row r="417" spans="1:24" ht="16.5" thickBot="1" x14ac:dyDescent="0.3">
      <c r="A417" s="51" t="s">
        <v>260</v>
      </c>
      <c r="B417" s="44" t="s">
        <v>255</v>
      </c>
      <c r="C417" s="4">
        <v>379.58</v>
      </c>
      <c r="D417" s="4">
        <v>386.13</v>
      </c>
      <c r="E417" s="3">
        <v>401</v>
      </c>
      <c r="F417" s="63">
        <f t="shared" si="256"/>
        <v>388.90333333333336</v>
      </c>
      <c r="G417" s="108">
        <f t="shared" si="257"/>
        <v>35779.106666666667</v>
      </c>
      <c r="H417" s="3">
        <v>387</v>
      </c>
      <c r="I417" s="3">
        <v>388.8</v>
      </c>
      <c r="J417" s="3">
        <v>378.39</v>
      </c>
      <c r="K417" s="63">
        <f t="shared" si="258"/>
        <v>384.73</v>
      </c>
      <c r="L417" s="108">
        <f t="shared" si="259"/>
        <v>35395.160000000003</v>
      </c>
      <c r="M417" s="3">
        <v>383.52</v>
      </c>
      <c r="N417" s="87">
        <v>405.36</v>
      </c>
      <c r="O417" s="87">
        <v>411.19</v>
      </c>
      <c r="P417" s="63">
        <f t="shared" si="260"/>
        <v>400.02333333333331</v>
      </c>
      <c r="Q417" s="108">
        <f t="shared" si="261"/>
        <v>36002.1</v>
      </c>
      <c r="R417" s="3">
        <v>397.26</v>
      </c>
      <c r="S417" s="87">
        <v>398.19</v>
      </c>
      <c r="T417" s="90">
        <v>406.9</v>
      </c>
      <c r="U417" s="63">
        <f t="shared" si="262"/>
        <v>400.7833333333333</v>
      </c>
      <c r="V417" s="111">
        <f t="shared" si="264"/>
        <v>36471.283333333333</v>
      </c>
      <c r="W417" s="64">
        <f t="shared" si="263"/>
        <v>393.60999999999996</v>
      </c>
      <c r="X417" s="66">
        <f t="shared" si="265"/>
        <v>143667.65</v>
      </c>
    </row>
    <row r="418" spans="1:24" ht="16.5" thickBot="1" x14ac:dyDescent="0.3">
      <c r="A418" s="50" t="s">
        <v>138</v>
      </c>
      <c r="B418" s="121" t="s">
        <v>263</v>
      </c>
      <c r="C418" s="4">
        <v>89.322999999999993</v>
      </c>
      <c r="D418" s="4">
        <v>89.031999999999996</v>
      </c>
      <c r="E418" s="3">
        <v>94</v>
      </c>
      <c r="F418" s="63">
        <f t="shared" ref="F418:F423" si="266">SUM(C418:E418)/3</f>
        <v>90.785000000000011</v>
      </c>
      <c r="G418" s="108">
        <f t="shared" si="257"/>
        <v>8352.2200000000012</v>
      </c>
      <c r="H418" s="3">
        <v>97</v>
      </c>
      <c r="I418" s="3">
        <v>108.13</v>
      </c>
      <c r="J418" s="3">
        <v>98.77</v>
      </c>
      <c r="K418" s="63">
        <f t="shared" ref="K418:K423" si="267">SUM(H418:J418)/3</f>
        <v>101.3</v>
      </c>
      <c r="L418" s="108">
        <f t="shared" si="259"/>
        <v>9319.6</v>
      </c>
      <c r="M418" s="3">
        <v>94.42</v>
      </c>
      <c r="N418" s="87">
        <v>95.17</v>
      </c>
      <c r="O418" s="87">
        <v>94.51</v>
      </c>
      <c r="P418" s="63">
        <f t="shared" ref="P418:P423" si="268">SUM(M418:O418)/3</f>
        <v>94.7</v>
      </c>
      <c r="Q418" s="108">
        <f t="shared" si="261"/>
        <v>8523</v>
      </c>
      <c r="R418" s="3">
        <v>107.2</v>
      </c>
      <c r="S418" s="87">
        <v>110.32</v>
      </c>
      <c r="T418" s="90">
        <v>102.3</v>
      </c>
      <c r="U418" s="63">
        <f t="shared" ref="U418:U423" si="269">SUM(R418:T418)/3</f>
        <v>106.60666666666667</v>
      </c>
      <c r="V418" s="111">
        <f t="shared" si="264"/>
        <v>9701.2066666666669</v>
      </c>
      <c r="W418" s="64">
        <f t="shared" si="263"/>
        <v>98.347916666666663</v>
      </c>
      <c r="X418" s="66">
        <f>W418*365</f>
        <v>35896.989583333328</v>
      </c>
    </row>
    <row r="419" spans="1:24" ht="16.5" thickBot="1" x14ac:dyDescent="0.3">
      <c r="A419" s="49" t="s">
        <v>19</v>
      </c>
      <c r="B419" s="43" t="s">
        <v>256</v>
      </c>
      <c r="C419" s="126">
        <v>485</v>
      </c>
      <c r="D419" s="126">
        <v>465.65</v>
      </c>
      <c r="E419" s="118">
        <v>441</v>
      </c>
      <c r="F419" s="63">
        <f t="shared" si="266"/>
        <v>463.88333333333338</v>
      </c>
      <c r="G419" s="108">
        <f t="shared" si="257"/>
        <v>42677.26666666667</v>
      </c>
      <c r="H419" s="118">
        <v>466</v>
      </c>
      <c r="I419" s="3">
        <v>483.03</v>
      </c>
      <c r="J419" s="118">
        <v>481</v>
      </c>
      <c r="K419" s="63">
        <f t="shared" si="267"/>
        <v>476.67666666666668</v>
      </c>
      <c r="L419" s="111">
        <f t="shared" si="259"/>
        <v>43854.253333333334</v>
      </c>
      <c r="M419" s="3">
        <v>485.84</v>
      </c>
      <c r="N419" s="86">
        <v>489.79</v>
      </c>
      <c r="O419" s="86">
        <v>476.68</v>
      </c>
      <c r="P419" s="63">
        <f t="shared" si="268"/>
        <v>484.1033333333333</v>
      </c>
      <c r="Q419" s="108">
        <f t="shared" si="261"/>
        <v>43569.299999999996</v>
      </c>
      <c r="R419" s="3">
        <v>480.03</v>
      </c>
      <c r="S419" s="86">
        <v>477.45</v>
      </c>
      <c r="T419" s="89">
        <v>480.4</v>
      </c>
      <c r="U419" s="63">
        <f t="shared" si="269"/>
        <v>479.29333333333335</v>
      </c>
      <c r="V419" s="111">
        <f t="shared" si="264"/>
        <v>43615.693333333336</v>
      </c>
      <c r="W419" s="64">
        <f t="shared" si="263"/>
        <v>475.98916666666668</v>
      </c>
      <c r="X419" s="65">
        <f t="shared" si="265"/>
        <v>173736.04583333334</v>
      </c>
    </row>
    <row r="420" spans="1:24" ht="16.5" thickBot="1" x14ac:dyDescent="0.3">
      <c r="A420" s="51" t="s">
        <v>261</v>
      </c>
      <c r="B420" s="44" t="s">
        <v>257</v>
      </c>
      <c r="C420" s="4">
        <v>325.89999999999998</v>
      </c>
      <c r="D420" s="4">
        <v>339.58</v>
      </c>
      <c r="E420" s="3">
        <v>352</v>
      </c>
      <c r="F420" s="63">
        <f t="shared" si="266"/>
        <v>339.16</v>
      </c>
      <c r="G420" s="108">
        <f t="shared" si="257"/>
        <v>31202.720000000001</v>
      </c>
      <c r="H420" s="3">
        <v>368</v>
      </c>
      <c r="I420" s="3">
        <v>367.04</v>
      </c>
      <c r="J420" s="3">
        <v>346.33</v>
      </c>
      <c r="K420" s="63">
        <f t="shared" si="267"/>
        <v>360.45666666666665</v>
      </c>
      <c r="L420" s="108">
        <f t="shared" si="259"/>
        <v>33162.013333333329</v>
      </c>
      <c r="M420" s="3">
        <v>348.81</v>
      </c>
      <c r="N420" s="87">
        <v>360.07</v>
      </c>
      <c r="O420" s="87">
        <v>364.74</v>
      </c>
      <c r="P420" s="63">
        <f t="shared" si="268"/>
        <v>357.87333333333328</v>
      </c>
      <c r="Q420" s="108">
        <f t="shared" si="261"/>
        <v>32208.599999999995</v>
      </c>
      <c r="R420" s="3">
        <v>353.1</v>
      </c>
      <c r="S420" s="87">
        <v>367.36</v>
      </c>
      <c r="T420" s="90">
        <v>356.83</v>
      </c>
      <c r="U420" s="63">
        <f t="shared" si="269"/>
        <v>359.09666666666664</v>
      </c>
      <c r="V420" s="111">
        <f t="shared" si="264"/>
        <v>32677.796666666665</v>
      </c>
      <c r="W420" s="64">
        <f t="shared" si="263"/>
        <v>354.1466666666667</v>
      </c>
      <c r="X420" s="66">
        <f t="shared" si="265"/>
        <v>129263.53333333334</v>
      </c>
    </row>
    <row r="421" spans="1:24" ht="16.5" thickBot="1" x14ac:dyDescent="0.3">
      <c r="A421" s="50" t="s">
        <v>130</v>
      </c>
      <c r="B421" s="44" t="s">
        <v>258</v>
      </c>
      <c r="C421" s="4">
        <v>115.581</v>
      </c>
      <c r="D421" s="4">
        <v>120.74</v>
      </c>
      <c r="E421" s="3">
        <v>109</v>
      </c>
      <c r="F421" s="63">
        <f t="shared" si="266"/>
        <v>115.10700000000001</v>
      </c>
      <c r="G421" s="108">
        <f t="shared" si="257"/>
        <v>10589.844000000001</v>
      </c>
      <c r="H421" s="3">
        <v>107</v>
      </c>
      <c r="I421" s="3">
        <v>113.4</v>
      </c>
      <c r="J421" s="3">
        <v>119.16</v>
      </c>
      <c r="K421" s="63">
        <f t="shared" si="267"/>
        <v>113.18666666666667</v>
      </c>
      <c r="L421" s="108">
        <f t="shared" si="259"/>
        <v>10413.173333333334</v>
      </c>
      <c r="M421" s="3">
        <v>113.42</v>
      </c>
      <c r="N421" s="87">
        <v>104.43</v>
      </c>
      <c r="O421" s="87">
        <v>116.55</v>
      </c>
      <c r="P421" s="63">
        <f t="shared" si="268"/>
        <v>111.46666666666668</v>
      </c>
      <c r="Q421" s="108">
        <f t="shared" si="261"/>
        <v>10032.000000000002</v>
      </c>
      <c r="R421" s="3">
        <v>110.2</v>
      </c>
      <c r="S421" s="87">
        <v>107.32</v>
      </c>
      <c r="T421" s="90">
        <v>116.43</v>
      </c>
      <c r="U421" s="63">
        <f t="shared" si="269"/>
        <v>111.31666666666666</v>
      </c>
      <c r="V421" s="111">
        <f t="shared" si="264"/>
        <v>10129.816666666666</v>
      </c>
      <c r="W421" s="64">
        <f t="shared" si="263"/>
        <v>112.76925</v>
      </c>
      <c r="X421" s="66">
        <f t="shared" si="265"/>
        <v>41160.776250000003</v>
      </c>
    </row>
    <row r="422" spans="1:24" ht="16.5" thickBot="1" x14ac:dyDescent="0.3">
      <c r="A422" s="50" t="s">
        <v>131</v>
      </c>
      <c r="B422" s="34"/>
      <c r="C422" s="4">
        <v>0</v>
      </c>
      <c r="D422" s="4">
        <v>0</v>
      </c>
      <c r="E422" s="4">
        <v>0</v>
      </c>
      <c r="F422" s="67">
        <f t="shared" si="266"/>
        <v>0</v>
      </c>
      <c r="G422" s="108">
        <f t="shared" si="257"/>
        <v>0</v>
      </c>
      <c r="H422" s="4">
        <v>0</v>
      </c>
      <c r="I422" s="4">
        <v>0</v>
      </c>
      <c r="J422" s="4">
        <v>0</v>
      </c>
      <c r="K422" s="67">
        <f t="shared" si="267"/>
        <v>0</v>
      </c>
      <c r="L422" s="108">
        <f t="shared" si="259"/>
        <v>0</v>
      </c>
      <c r="M422" s="18"/>
      <c r="N422" s="4">
        <v>0</v>
      </c>
      <c r="O422" s="4">
        <v>0</v>
      </c>
      <c r="P422" s="67">
        <f t="shared" si="268"/>
        <v>0</v>
      </c>
      <c r="Q422" s="108">
        <f>P422*91</f>
        <v>0</v>
      </c>
      <c r="R422" s="4">
        <v>0</v>
      </c>
      <c r="S422" s="4">
        <v>0</v>
      </c>
      <c r="T422" s="4">
        <v>0</v>
      </c>
      <c r="U422" s="67">
        <f t="shared" si="269"/>
        <v>0</v>
      </c>
      <c r="V422" s="112">
        <f t="shared" si="264"/>
        <v>0</v>
      </c>
      <c r="W422" s="137">
        <f t="shared" si="263"/>
        <v>0</v>
      </c>
      <c r="X422" s="66">
        <f>W422*365</f>
        <v>0</v>
      </c>
    </row>
    <row r="423" spans="1:24" ht="16.5" thickBot="1" x14ac:dyDescent="0.3">
      <c r="A423" s="46" t="s">
        <v>139</v>
      </c>
      <c r="B423" s="35"/>
      <c r="C423" s="80">
        <f>SUM(C409:C422)</f>
        <v>3169.35</v>
      </c>
      <c r="D423" s="80">
        <v>3206</v>
      </c>
      <c r="E423" s="80">
        <f>SUM(E409:E422)</f>
        <v>3310</v>
      </c>
      <c r="F423" s="68">
        <f t="shared" si="266"/>
        <v>3228.4500000000003</v>
      </c>
      <c r="G423" s="108">
        <f t="shared" si="257"/>
        <v>297017.40000000002</v>
      </c>
      <c r="H423" s="94">
        <f>SUM(H409:H422)</f>
        <v>3277</v>
      </c>
      <c r="I423" s="80">
        <f>SUM(I409:I422)</f>
        <v>3268.2400000000002</v>
      </c>
      <c r="J423" s="80">
        <f>SUM(J409:J422)</f>
        <v>3176.45</v>
      </c>
      <c r="K423" s="68">
        <f t="shared" si="267"/>
        <v>3240.563333333333</v>
      </c>
      <c r="L423" s="119">
        <f t="shared" si="259"/>
        <v>298131.82666666666</v>
      </c>
      <c r="M423" s="9">
        <f>SUM(M409:M422)</f>
        <v>3229.8800000000006</v>
      </c>
      <c r="N423" s="80">
        <f>SUM(N409:N422)</f>
        <v>3277.56</v>
      </c>
      <c r="O423" s="80">
        <f>SUM(O409:O422)</f>
        <v>3297.1050000000005</v>
      </c>
      <c r="P423" s="68">
        <f t="shared" si="268"/>
        <v>3268.1816666666673</v>
      </c>
      <c r="Q423" s="119">
        <f>P423*91</f>
        <v>297404.53166666673</v>
      </c>
      <c r="R423" s="94">
        <f>SUM(R409:R422)</f>
        <v>3292.9999999999995</v>
      </c>
      <c r="S423" s="80">
        <f>SUM(S409:S422)</f>
        <v>3276.4910000000004</v>
      </c>
      <c r="T423" s="81">
        <f>SUM(T409:T422)</f>
        <v>3262.5970000000002</v>
      </c>
      <c r="U423" s="68">
        <f t="shared" si="269"/>
        <v>3277.3626666666664</v>
      </c>
      <c r="V423" s="120">
        <f t="shared" si="264"/>
        <v>298240.00266666664</v>
      </c>
      <c r="W423" s="138">
        <f t="shared" si="263"/>
        <v>3253.6394166666669</v>
      </c>
      <c r="X423" s="69">
        <f>SUM(X409:X422)</f>
        <v>1187552.5025000004</v>
      </c>
    </row>
    <row r="424" spans="1:24" ht="16.5" thickBot="1" x14ac:dyDescent="0.3">
      <c r="A424" s="46" t="s">
        <v>140</v>
      </c>
      <c r="B424" s="35"/>
      <c r="C424" s="70"/>
      <c r="D424" s="70"/>
      <c r="E424" s="71"/>
      <c r="F424" s="98"/>
      <c r="G424" s="98"/>
      <c r="H424" s="72"/>
      <c r="I424" s="70" t="s">
        <v>236</v>
      </c>
      <c r="J424" s="71"/>
      <c r="K424" s="97"/>
      <c r="L424" s="97"/>
      <c r="M424" s="72"/>
      <c r="N424" s="70"/>
      <c r="O424" s="71"/>
      <c r="P424" s="97"/>
      <c r="Q424" s="97"/>
      <c r="R424" s="72"/>
      <c r="S424" s="70"/>
      <c r="T424" s="71"/>
      <c r="U424" s="71"/>
      <c r="V424" s="70"/>
      <c r="W424" s="96"/>
      <c r="X424" s="69" t="s">
        <v>0</v>
      </c>
    </row>
    <row r="425" spans="1:24" ht="16.5" thickBot="1" x14ac:dyDescent="0.3">
      <c r="A425" s="49" t="s">
        <v>132</v>
      </c>
      <c r="B425" s="33"/>
      <c r="C425" s="6">
        <v>636</v>
      </c>
      <c r="D425" s="6">
        <v>646</v>
      </c>
      <c r="E425" s="6">
        <v>644</v>
      </c>
      <c r="F425" s="63">
        <f t="shared" ref="F425:F431" si="270">SUM(C425:E425)/3</f>
        <v>642</v>
      </c>
      <c r="G425" s="108">
        <f>SUM(670*92)</f>
        <v>61640</v>
      </c>
      <c r="H425" s="6">
        <v>674</v>
      </c>
      <c r="I425" s="6">
        <v>652</v>
      </c>
      <c r="J425" s="6">
        <v>631</v>
      </c>
      <c r="K425" s="63">
        <f t="shared" ref="K425:K432" si="271">SUM(H425:J425)/3</f>
        <v>652.33333333333337</v>
      </c>
      <c r="L425" s="108">
        <f t="shared" ref="L425:L431" si="272">K425*92</f>
        <v>60014.666666666672</v>
      </c>
      <c r="M425" s="6">
        <v>641</v>
      </c>
      <c r="N425" s="73">
        <v>685</v>
      </c>
      <c r="O425" s="73">
        <v>653</v>
      </c>
      <c r="P425" s="63">
        <f t="shared" ref="P425:P432" si="273">SUM(M425:O425)/3</f>
        <v>659.66666666666663</v>
      </c>
      <c r="Q425" s="108">
        <f t="shared" ref="Q425:Q431" si="274">P425*90</f>
        <v>59370</v>
      </c>
      <c r="R425" s="6">
        <v>622</v>
      </c>
      <c r="S425" s="73">
        <v>612</v>
      </c>
      <c r="T425" s="74">
        <v>617</v>
      </c>
      <c r="U425" s="63">
        <f t="shared" ref="U425:U432" si="275">SUM(R425:T425)/3</f>
        <v>617</v>
      </c>
      <c r="V425" s="111">
        <f t="shared" ref="V425:V431" si="276">U425*91</f>
        <v>56147</v>
      </c>
      <c r="W425" s="64">
        <f t="shared" ref="W425:W430" si="277">SUM(C425+D425+E425+H425+I425+J425+M425+N425+O425+R425+S425+T425)/12</f>
        <v>642.75</v>
      </c>
      <c r="X425" s="65">
        <f t="shared" si="265"/>
        <v>234603.75</v>
      </c>
    </row>
    <row r="426" spans="1:24" ht="16.5" thickBot="1" x14ac:dyDescent="0.3">
      <c r="A426" s="50" t="s">
        <v>133</v>
      </c>
      <c r="B426" s="34"/>
      <c r="C426" s="5">
        <v>20</v>
      </c>
      <c r="D426" s="5">
        <v>19</v>
      </c>
      <c r="E426" s="5">
        <v>17</v>
      </c>
      <c r="F426" s="63">
        <f t="shared" si="270"/>
        <v>18.666666666666668</v>
      </c>
      <c r="G426" s="109">
        <f>SUM(31*92)</f>
        <v>2852</v>
      </c>
      <c r="H426" s="5">
        <v>13</v>
      </c>
      <c r="I426" s="5">
        <v>12</v>
      </c>
      <c r="J426" s="5">
        <v>15</v>
      </c>
      <c r="K426" s="63">
        <f t="shared" si="271"/>
        <v>13.333333333333334</v>
      </c>
      <c r="L426" s="108">
        <f t="shared" si="272"/>
        <v>1226.6666666666667</v>
      </c>
      <c r="M426" s="5">
        <v>16</v>
      </c>
      <c r="N426" s="75">
        <v>14</v>
      </c>
      <c r="O426" s="75">
        <v>13</v>
      </c>
      <c r="P426" s="63">
        <f t="shared" si="273"/>
        <v>14.333333333333334</v>
      </c>
      <c r="Q426" s="108">
        <f t="shared" si="274"/>
        <v>1290</v>
      </c>
      <c r="R426" s="5">
        <v>14</v>
      </c>
      <c r="S426" s="75">
        <v>11</v>
      </c>
      <c r="T426" s="76">
        <v>10</v>
      </c>
      <c r="U426" s="63">
        <f t="shared" si="275"/>
        <v>11.666666666666666</v>
      </c>
      <c r="V426" s="111">
        <f t="shared" si="276"/>
        <v>1061.6666666666665</v>
      </c>
      <c r="W426" s="64">
        <f t="shared" si="277"/>
        <v>14.5</v>
      </c>
      <c r="X426" s="66">
        <f>W426*122</f>
        <v>1769</v>
      </c>
    </row>
    <row r="427" spans="1:24" ht="16.5" thickBot="1" x14ac:dyDescent="0.3">
      <c r="A427" s="50" t="s">
        <v>135</v>
      </c>
      <c r="B427" s="34"/>
      <c r="C427" s="5">
        <v>24</v>
      </c>
      <c r="D427" s="5">
        <v>24</v>
      </c>
      <c r="E427" s="5">
        <v>23</v>
      </c>
      <c r="F427" s="63">
        <f t="shared" si="270"/>
        <v>23.666666666666668</v>
      </c>
      <c r="G427" s="109">
        <f>SUM(35*92)</f>
        <v>3220</v>
      </c>
      <c r="H427" s="5">
        <v>23</v>
      </c>
      <c r="I427" s="5">
        <v>24</v>
      </c>
      <c r="J427" s="5">
        <v>27</v>
      </c>
      <c r="K427" s="63">
        <f t="shared" si="271"/>
        <v>24.666666666666668</v>
      </c>
      <c r="L427" s="108">
        <f t="shared" si="272"/>
        <v>2269.3333333333335</v>
      </c>
      <c r="M427" s="5">
        <v>27</v>
      </c>
      <c r="N427" s="75">
        <v>29</v>
      </c>
      <c r="O427" s="75">
        <v>29</v>
      </c>
      <c r="P427" s="63">
        <f t="shared" si="273"/>
        <v>28.333333333333332</v>
      </c>
      <c r="Q427" s="108">
        <f t="shared" si="274"/>
        <v>2550</v>
      </c>
      <c r="R427" s="5">
        <v>30</v>
      </c>
      <c r="S427" s="75">
        <v>31</v>
      </c>
      <c r="T427" s="76">
        <v>27</v>
      </c>
      <c r="U427" s="63">
        <f t="shared" si="275"/>
        <v>29.333333333333332</v>
      </c>
      <c r="V427" s="111">
        <f t="shared" si="276"/>
        <v>2669.333333333333</v>
      </c>
      <c r="W427" s="64">
        <f t="shared" si="277"/>
        <v>26.5</v>
      </c>
      <c r="X427" s="66">
        <f t="shared" si="265"/>
        <v>9672.5</v>
      </c>
    </row>
    <row r="428" spans="1:24" ht="25.5" customHeight="1" thickBot="1" x14ac:dyDescent="0.3">
      <c r="A428" s="50" t="s">
        <v>134</v>
      </c>
      <c r="B428" s="34"/>
      <c r="C428" s="5">
        <v>121</v>
      </c>
      <c r="D428" s="5">
        <v>119</v>
      </c>
      <c r="E428" s="5">
        <v>116</v>
      </c>
      <c r="F428" s="63">
        <f t="shared" si="270"/>
        <v>118.66666666666667</v>
      </c>
      <c r="G428" s="109">
        <f>SUM(155*92)</f>
        <v>14260</v>
      </c>
      <c r="H428" s="5">
        <v>119</v>
      </c>
      <c r="I428" s="5">
        <v>113</v>
      </c>
      <c r="J428" s="5">
        <v>109</v>
      </c>
      <c r="K428" s="63">
        <f t="shared" si="271"/>
        <v>113.66666666666667</v>
      </c>
      <c r="L428" s="108">
        <f t="shared" si="272"/>
        <v>10457.333333333334</v>
      </c>
      <c r="M428" s="5">
        <v>108</v>
      </c>
      <c r="N428" s="75">
        <v>111</v>
      </c>
      <c r="O428" s="75">
        <v>107</v>
      </c>
      <c r="P428" s="63">
        <f t="shared" si="273"/>
        <v>108.66666666666667</v>
      </c>
      <c r="Q428" s="108">
        <f t="shared" si="274"/>
        <v>9780</v>
      </c>
      <c r="R428" s="5">
        <v>107</v>
      </c>
      <c r="S428" s="75">
        <v>117</v>
      </c>
      <c r="T428" s="76">
        <v>115</v>
      </c>
      <c r="U428" s="63">
        <f t="shared" si="275"/>
        <v>113</v>
      </c>
      <c r="V428" s="111">
        <f t="shared" si="276"/>
        <v>10283</v>
      </c>
      <c r="W428" s="64">
        <f t="shared" si="277"/>
        <v>113.5</v>
      </c>
      <c r="X428" s="66">
        <f>W428*61</f>
        <v>6923.5</v>
      </c>
    </row>
    <row r="429" spans="1:24" ht="16.5" thickBot="1" x14ac:dyDescent="0.3">
      <c r="A429" s="50" t="s">
        <v>136</v>
      </c>
      <c r="B429" s="34"/>
      <c r="C429" s="5">
        <v>683</v>
      </c>
      <c r="D429" s="5">
        <v>679</v>
      </c>
      <c r="E429" s="5">
        <v>672</v>
      </c>
      <c r="F429" s="63">
        <f t="shared" si="270"/>
        <v>678</v>
      </c>
      <c r="G429" s="109">
        <f>SUM(651*92)</f>
        <v>59892</v>
      </c>
      <c r="H429" s="5">
        <v>755</v>
      </c>
      <c r="I429" s="5">
        <v>760</v>
      </c>
      <c r="J429" s="5">
        <v>755</v>
      </c>
      <c r="K429" s="63">
        <f t="shared" si="271"/>
        <v>756.66666666666663</v>
      </c>
      <c r="L429" s="108">
        <f t="shared" si="272"/>
        <v>69613.333333333328</v>
      </c>
      <c r="M429" s="5">
        <v>750</v>
      </c>
      <c r="N429" s="75">
        <v>746</v>
      </c>
      <c r="O429" s="75">
        <v>751</v>
      </c>
      <c r="P429" s="63">
        <f t="shared" si="273"/>
        <v>749</v>
      </c>
      <c r="Q429" s="108">
        <f t="shared" si="274"/>
        <v>67410</v>
      </c>
      <c r="R429" s="5">
        <v>760</v>
      </c>
      <c r="S429" s="75">
        <v>758</v>
      </c>
      <c r="T429" s="76">
        <v>757</v>
      </c>
      <c r="U429" s="63">
        <f t="shared" si="275"/>
        <v>758.33333333333337</v>
      </c>
      <c r="V429" s="111">
        <f t="shared" si="276"/>
        <v>69008.333333333343</v>
      </c>
      <c r="W429" s="64">
        <f t="shared" si="277"/>
        <v>735.5</v>
      </c>
      <c r="X429" s="66">
        <f t="shared" si="265"/>
        <v>268457.5</v>
      </c>
    </row>
    <row r="430" spans="1:24" ht="16.5" thickBot="1" x14ac:dyDescent="0.3">
      <c r="A430" s="50" t="s">
        <v>137</v>
      </c>
      <c r="B430" s="34"/>
      <c r="C430" s="5">
        <v>21</v>
      </c>
      <c r="D430" s="5">
        <v>20</v>
      </c>
      <c r="E430" s="5">
        <v>19</v>
      </c>
      <c r="F430" s="63">
        <f t="shared" si="270"/>
        <v>20</v>
      </c>
      <c r="G430" s="109">
        <f>SUM(22*92)</f>
        <v>2024</v>
      </c>
      <c r="H430" s="5">
        <v>20</v>
      </c>
      <c r="I430" s="5">
        <v>20</v>
      </c>
      <c r="J430" s="5">
        <v>20</v>
      </c>
      <c r="K430" s="63">
        <f t="shared" si="271"/>
        <v>20</v>
      </c>
      <c r="L430" s="108">
        <f t="shared" si="272"/>
        <v>1840</v>
      </c>
      <c r="M430" s="5">
        <v>19</v>
      </c>
      <c r="N430" s="75">
        <v>18</v>
      </c>
      <c r="O430" s="75">
        <v>18</v>
      </c>
      <c r="P430" s="63">
        <f t="shared" si="273"/>
        <v>18.333333333333332</v>
      </c>
      <c r="Q430" s="108">
        <f t="shared" si="274"/>
        <v>1650</v>
      </c>
      <c r="R430" s="5">
        <v>18</v>
      </c>
      <c r="S430" s="75">
        <v>17</v>
      </c>
      <c r="T430" s="76">
        <v>17</v>
      </c>
      <c r="U430" s="63">
        <f t="shared" si="275"/>
        <v>17.333333333333332</v>
      </c>
      <c r="V430" s="112">
        <f t="shared" si="276"/>
        <v>1577.3333333333333</v>
      </c>
      <c r="W430" s="64">
        <f t="shared" si="277"/>
        <v>18.916666666666668</v>
      </c>
      <c r="X430" s="66">
        <f t="shared" si="265"/>
        <v>6904.5833333333339</v>
      </c>
    </row>
    <row r="431" spans="1:24" ht="16.5" thickBot="1" x14ac:dyDescent="0.3">
      <c r="A431" s="53" t="s">
        <v>141</v>
      </c>
      <c r="B431" s="37"/>
      <c r="C431" s="80">
        <f>SUM(C425:C430)</f>
        <v>1505</v>
      </c>
      <c r="D431" s="80">
        <f>SUM(D425:D430)</f>
        <v>1507</v>
      </c>
      <c r="E431" s="80">
        <f>SUM(E425:E430)</f>
        <v>1491</v>
      </c>
      <c r="F431" s="68">
        <f t="shared" si="270"/>
        <v>1501</v>
      </c>
      <c r="G431" s="95">
        <f>SUM(1660*92)</f>
        <v>152720</v>
      </c>
      <c r="H431" s="94">
        <f>SUM(H425:H430)</f>
        <v>1604</v>
      </c>
      <c r="I431" s="80">
        <f>SUM(I425:I430)</f>
        <v>1581</v>
      </c>
      <c r="J431" s="80">
        <f>SUM(J425:J430)</f>
        <v>1557</v>
      </c>
      <c r="K431" s="68">
        <f t="shared" si="271"/>
        <v>1580.6666666666667</v>
      </c>
      <c r="L431" s="119">
        <f t="shared" si="272"/>
        <v>145421.33333333334</v>
      </c>
      <c r="M431" s="94">
        <f>SUM(M425:M430)</f>
        <v>1561</v>
      </c>
      <c r="N431" s="80">
        <f>SUM(N425:N430)</f>
        <v>1603</v>
      </c>
      <c r="O431" s="80">
        <f>SUM(O425:O430)</f>
        <v>1571</v>
      </c>
      <c r="P431" s="68">
        <f t="shared" si="273"/>
        <v>1578.3333333333333</v>
      </c>
      <c r="Q431" s="119">
        <f t="shared" si="274"/>
        <v>142050</v>
      </c>
      <c r="R431" s="94">
        <f>SUM(R425:R430)</f>
        <v>1551</v>
      </c>
      <c r="S431" s="80">
        <f>SUM(S425:S430)</f>
        <v>1546</v>
      </c>
      <c r="T431" s="81">
        <f>SUM(T425:T430)</f>
        <v>1543</v>
      </c>
      <c r="U431" s="68">
        <f t="shared" si="275"/>
        <v>1546.6666666666667</v>
      </c>
      <c r="V431" s="120">
        <f t="shared" si="276"/>
        <v>140746.66666666669</v>
      </c>
      <c r="W431" s="69">
        <f>SUM(W425:W430)</f>
        <v>1551.6666666666667</v>
      </c>
      <c r="X431" s="69">
        <f>SUM(X425:X430)</f>
        <v>528330.83333333337</v>
      </c>
    </row>
    <row r="432" spans="1:24" ht="16.5" thickBot="1" x14ac:dyDescent="0.3">
      <c r="A432" s="54" t="s">
        <v>145</v>
      </c>
      <c r="B432" s="38"/>
      <c r="C432" s="80">
        <f>C423+C431</f>
        <v>4674.3500000000004</v>
      </c>
      <c r="D432" s="80">
        <f>D423+D431</f>
        <v>4713</v>
      </c>
      <c r="E432" s="80">
        <f>E423+E431</f>
        <v>4801</v>
      </c>
      <c r="F432" s="80">
        <f>F423+F431</f>
        <v>4729.4500000000007</v>
      </c>
      <c r="G432" s="68">
        <f>SUM(G423+G431)</f>
        <v>449737.4</v>
      </c>
      <c r="H432" s="80">
        <f>H423+H431</f>
        <v>4881</v>
      </c>
      <c r="I432" s="80">
        <f>I423+I431</f>
        <v>4849.24</v>
      </c>
      <c r="J432" s="80">
        <f>J423+J431</f>
        <v>4733.45</v>
      </c>
      <c r="K432" s="120">
        <f t="shared" si="271"/>
        <v>4821.2299999999996</v>
      </c>
      <c r="L432" s="68">
        <f>SUM(L423+L431)</f>
        <v>443553.16000000003</v>
      </c>
      <c r="M432" s="94">
        <f>M423+M431</f>
        <v>4790.880000000001</v>
      </c>
      <c r="N432" s="80">
        <f>N423+N431</f>
        <v>4880.5599999999995</v>
      </c>
      <c r="O432" s="80">
        <f>O423+O431</f>
        <v>4868.1050000000005</v>
      </c>
      <c r="P432" s="99">
        <f t="shared" si="273"/>
        <v>4846.5150000000003</v>
      </c>
      <c r="Q432" s="68">
        <f>SUM(Q423+Q431)</f>
        <v>439454.53166666673</v>
      </c>
      <c r="R432" s="94">
        <f>R423+R431</f>
        <v>4844</v>
      </c>
      <c r="S432" s="80">
        <f>S423+S431</f>
        <v>4822.491</v>
      </c>
      <c r="T432" s="81">
        <f>T423+T431</f>
        <v>4805.5969999999998</v>
      </c>
      <c r="U432" s="99">
        <f t="shared" si="275"/>
        <v>4824.0293333333329</v>
      </c>
      <c r="V432" s="68">
        <f>SUM(V423+V431)</f>
        <v>438986.66933333332</v>
      </c>
      <c r="W432" s="80">
        <f>W423+W431</f>
        <v>4805.3060833333338</v>
      </c>
      <c r="X432" s="82">
        <f>X423+X431</f>
        <v>1715883.3358333339</v>
      </c>
    </row>
    <row r="433" spans="1:25" ht="15.75" x14ac:dyDescent="0.25">
      <c r="A433" s="114"/>
      <c r="B433" s="19"/>
      <c r="C433" s="115"/>
      <c r="D433" s="115"/>
      <c r="E433" s="115"/>
      <c r="F433" s="113"/>
      <c r="G433" s="93"/>
      <c r="H433" s="115"/>
      <c r="I433" s="115"/>
      <c r="J433" s="115"/>
      <c r="K433" s="113"/>
      <c r="L433" s="93"/>
      <c r="M433" s="115"/>
      <c r="N433" s="115"/>
      <c r="O433" s="115"/>
      <c r="P433" s="113"/>
      <c r="Q433" s="93"/>
      <c r="R433" s="115"/>
      <c r="S433" s="115"/>
      <c r="T433" s="115"/>
      <c r="U433" s="113"/>
      <c r="V433" s="93"/>
      <c r="W433" s="115"/>
      <c r="X433" s="115"/>
    </row>
    <row r="434" spans="1:25" ht="15.75" x14ac:dyDescent="0.25">
      <c r="A434" s="114"/>
      <c r="B434" s="19"/>
      <c r="C434" s="115"/>
      <c r="D434" s="115"/>
      <c r="E434" s="115"/>
      <c r="F434" s="113"/>
      <c r="G434" s="93"/>
      <c r="H434" s="115"/>
      <c r="I434" s="115"/>
      <c r="J434" s="115"/>
      <c r="K434" s="113"/>
      <c r="L434" s="93"/>
      <c r="M434" s="115"/>
      <c r="N434" s="115"/>
      <c r="O434" s="115"/>
      <c r="P434" s="113"/>
      <c r="Q434" s="93"/>
      <c r="R434" s="115"/>
      <c r="S434" s="115"/>
      <c r="T434" s="115"/>
      <c r="U434" s="113"/>
      <c r="V434" s="93"/>
      <c r="W434" s="115"/>
      <c r="X434" s="115"/>
    </row>
    <row r="436" spans="1:25" ht="16.5" thickBot="1" x14ac:dyDescent="0.25">
      <c r="A436" s="45" t="s">
        <v>144</v>
      </c>
      <c r="B436" s="10"/>
      <c r="C436" s="13"/>
      <c r="D436" s="13"/>
      <c r="E436" s="13"/>
      <c r="F436" s="13"/>
      <c r="G436" s="13"/>
      <c r="H436" s="13"/>
      <c r="I436" s="13"/>
      <c r="J436" s="13"/>
      <c r="K436" s="13"/>
      <c r="L436" s="13"/>
      <c r="M436" s="13"/>
      <c r="N436" s="13"/>
      <c r="O436" s="13"/>
      <c r="P436" s="13"/>
      <c r="Q436" s="13"/>
      <c r="R436" s="13"/>
      <c r="S436" s="13"/>
      <c r="T436" s="13"/>
      <c r="U436" s="13"/>
      <c r="V436" s="13"/>
      <c r="W436" s="13"/>
      <c r="X436" s="13"/>
      <c r="Y436" s="116"/>
    </row>
    <row r="437" spans="1:25" ht="16.5" thickBot="1" x14ac:dyDescent="0.3">
      <c r="A437" s="32" t="s">
        <v>243</v>
      </c>
      <c r="B437" s="1055" t="s">
        <v>142</v>
      </c>
      <c r="C437" s="1060"/>
      <c r="D437" s="1060"/>
      <c r="E437" s="1060"/>
      <c r="F437" s="1060"/>
      <c r="G437" s="1060"/>
      <c r="H437" s="1060"/>
      <c r="I437" s="1060"/>
      <c r="J437" s="1060"/>
      <c r="K437" s="1060"/>
      <c r="L437" s="1060"/>
      <c r="M437" s="1060"/>
      <c r="N437" s="1060"/>
      <c r="O437" s="1060"/>
      <c r="P437" s="1060"/>
      <c r="Q437" s="1060"/>
      <c r="R437" s="1060"/>
      <c r="S437" s="1060"/>
      <c r="T437" s="1060"/>
      <c r="U437" s="39"/>
      <c r="V437" s="39"/>
      <c r="W437" s="92"/>
      <c r="X437" s="13"/>
    </row>
    <row r="438" spans="1:25" ht="15.75" x14ac:dyDescent="0.25">
      <c r="A438" s="11"/>
      <c r="B438" s="40" t="s">
        <v>245</v>
      </c>
      <c r="C438" s="57"/>
      <c r="D438" s="58"/>
      <c r="E438" s="58"/>
      <c r="F438" s="1047" t="s">
        <v>242</v>
      </c>
      <c r="G438" s="127" t="s">
        <v>262</v>
      </c>
      <c r="H438" s="58"/>
      <c r="I438" s="58"/>
      <c r="J438" s="58"/>
      <c r="K438" s="129" t="s">
        <v>242</v>
      </c>
      <c r="L438" s="127" t="s">
        <v>262</v>
      </c>
      <c r="M438" s="58"/>
      <c r="N438" s="58"/>
      <c r="O438" s="58"/>
      <c r="P438" s="129" t="s">
        <v>242</v>
      </c>
      <c r="Q438" s="127" t="s">
        <v>262</v>
      </c>
      <c r="R438" s="58"/>
      <c r="S438" s="58"/>
      <c r="T438" s="59"/>
      <c r="U438" s="129" t="s">
        <v>242</v>
      </c>
      <c r="V438" s="127" t="s">
        <v>262</v>
      </c>
      <c r="W438" s="131" t="s">
        <v>143</v>
      </c>
      <c r="X438" s="133" t="s">
        <v>144</v>
      </c>
    </row>
    <row r="439" spans="1:25" ht="15.75" thickBot="1" x14ac:dyDescent="0.3">
      <c r="A439" s="47" t="s">
        <v>55</v>
      </c>
      <c r="B439" s="41" t="s">
        <v>246</v>
      </c>
      <c r="C439" s="60">
        <v>38538</v>
      </c>
      <c r="D439" s="61">
        <v>38569</v>
      </c>
      <c r="E439" s="61">
        <v>38600</v>
      </c>
      <c r="F439" s="1048"/>
      <c r="G439" s="128"/>
      <c r="H439" s="61">
        <v>38630</v>
      </c>
      <c r="I439" s="61">
        <v>38661</v>
      </c>
      <c r="J439" s="61">
        <v>38691</v>
      </c>
      <c r="K439" s="130"/>
      <c r="L439" s="128"/>
      <c r="M439" s="61">
        <v>38718</v>
      </c>
      <c r="N439" s="61">
        <v>38749</v>
      </c>
      <c r="O439" s="61">
        <v>38777</v>
      </c>
      <c r="P439" s="130"/>
      <c r="Q439" s="128"/>
      <c r="R439" s="61">
        <v>38808</v>
      </c>
      <c r="S439" s="61">
        <v>38838</v>
      </c>
      <c r="T439" s="62">
        <v>38869</v>
      </c>
      <c r="U439" s="130"/>
      <c r="V439" s="128"/>
      <c r="W439" s="132"/>
      <c r="X439" s="134"/>
    </row>
    <row r="440" spans="1:25" ht="33" customHeight="1" thickBot="1" x14ac:dyDescent="0.25">
      <c r="A440" s="45"/>
    </row>
    <row r="441" spans="1:25" ht="15.75" x14ac:dyDescent="0.25">
      <c r="A441" s="11"/>
      <c r="B441" s="40" t="s">
        <v>245</v>
      </c>
      <c r="C441" s="57"/>
      <c r="D441" s="58"/>
      <c r="E441" s="58"/>
      <c r="F441" s="1047" t="s">
        <v>242</v>
      </c>
      <c r="G441" s="1039" t="s">
        <v>262</v>
      </c>
      <c r="H441" s="58"/>
      <c r="I441" s="58"/>
      <c r="J441" s="58"/>
      <c r="K441" s="1047" t="s">
        <v>242</v>
      </c>
      <c r="L441" s="1039" t="s">
        <v>262</v>
      </c>
      <c r="M441" s="58"/>
      <c r="N441" s="58"/>
      <c r="O441" s="58"/>
      <c r="P441" s="1047" t="s">
        <v>242</v>
      </c>
      <c r="Q441" s="1039" t="s">
        <v>262</v>
      </c>
      <c r="R441" s="58"/>
      <c r="S441" s="58"/>
      <c r="T441" s="59"/>
      <c r="U441" s="1047" t="s">
        <v>242</v>
      </c>
      <c r="V441" s="1039" t="s">
        <v>262</v>
      </c>
      <c r="W441" s="1041" t="s">
        <v>143</v>
      </c>
      <c r="X441" s="1043" t="s">
        <v>144</v>
      </c>
    </row>
    <row r="442" spans="1:25" ht="15.75" thickBot="1" x14ac:dyDescent="0.3">
      <c r="A442" s="47" t="s">
        <v>55</v>
      </c>
      <c r="B442" s="41" t="s">
        <v>246</v>
      </c>
      <c r="C442" s="60">
        <v>37805</v>
      </c>
      <c r="D442" s="61">
        <v>37836</v>
      </c>
      <c r="E442" s="61">
        <v>37867</v>
      </c>
      <c r="F442" s="1048"/>
      <c r="G442" s="1040"/>
      <c r="H442" s="61">
        <v>37897</v>
      </c>
      <c r="I442" s="61">
        <v>37928</v>
      </c>
      <c r="J442" s="61">
        <v>37958</v>
      </c>
      <c r="K442" s="1048"/>
      <c r="L442" s="1040"/>
      <c r="M442" s="61">
        <v>37987</v>
      </c>
      <c r="N442" s="61">
        <v>38018</v>
      </c>
      <c r="O442" s="61">
        <v>38047</v>
      </c>
      <c r="P442" s="1048"/>
      <c r="Q442" s="1040"/>
      <c r="R442" s="61">
        <v>38078</v>
      </c>
      <c r="S442" s="61">
        <v>38108</v>
      </c>
      <c r="T442" s="62">
        <v>38139</v>
      </c>
      <c r="U442" s="1048"/>
      <c r="V442" s="1040"/>
      <c r="W442" s="1042"/>
      <c r="X442" s="1044"/>
    </row>
    <row r="443" spans="1:25" ht="16.5" thickBot="1" x14ac:dyDescent="0.3">
      <c r="A443" s="48" t="s">
        <v>228</v>
      </c>
      <c r="B443" s="42" t="s">
        <v>247</v>
      </c>
      <c r="C443" s="117">
        <v>396.096</v>
      </c>
      <c r="D443" s="117">
        <v>405.09699999999998</v>
      </c>
      <c r="E443" s="117">
        <v>416</v>
      </c>
      <c r="F443" s="63">
        <f t="shared" ref="F443:F457" si="278">SUM(C443:E443)/3</f>
        <v>405.73099999999999</v>
      </c>
      <c r="G443" s="108">
        <f>SUM(406*92)</f>
        <v>37352</v>
      </c>
      <c r="H443" s="117">
        <v>419.61</v>
      </c>
      <c r="I443" s="117">
        <v>415.9</v>
      </c>
      <c r="J443" s="117">
        <v>432.52</v>
      </c>
      <c r="K443" s="63">
        <f t="shared" ref="K443:K457" si="279">SUM(H443:J443)/3</f>
        <v>422.67666666666668</v>
      </c>
      <c r="L443" s="108">
        <f t="shared" ref="L443:L457" si="280">K443*92</f>
        <v>38886.253333333334</v>
      </c>
      <c r="M443" s="117">
        <v>422.81</v>
      </c>
      <c r="N443" s="85">
        <v>419.45</v>
      </c>
      <c r="O443" s="85">
        <v>406.94</v>
      </c>
      <c r="P443" s="63">
        <f t="shared" ref="P443:P457" si="281">SUM(M443:O443)/3</f>
        <v>416.40000000000003</v>
      </c>
      <c r="Q443" s="108">
        <f t="shared" ref="Q443:Q457" si="282">P443*91</f>
        <v>37892.400000000001</v>
      </c>
      <c r="R443" s="117">
        <v>406.93</v>
      </c>
      <c r="S443" s="85">
        <v>396.9</v>
      </c>
      <c r="T443" s="122">
        <v>395.4</v>
      </c>
      <c r="U443" s="63">
        <f t="shared" ref="U443:U457" si="283">SUM(R443:T443)/3</f>
        <v>399.74333333333334</v>
      </c>
      <c r="V443" s="111">
        <f t="shared" ref="V443:V457" si="284">U443*91</f>
        <v>36376.643333333333</v>
      </c>
      <c r="W443" s="64">
        <f t="shared" ref="W443:W456" si="285">SUM(C443+D443+E443+H443+I443+J443+M443+N443+O443+R443+S443+T443)/12</f>
        <v>411.13774999999993</v>
      </c>
      <c r="X443" s="65">
        <f t="shared" ref="X443:X456" si="286">W443*366</f>
        <v>150476.41649999996</v>
      </c>
    </row>
    <row r="444" spans="1:25" ht="16.5" thickBot="1" x14ac:dyDescent="0.3">
      <c r="A444" s="49" t="s">
        <v>127</v>
      </c>
      <c r="B444" s="43" t="s">
        <v>248</v>
      </c>
      <c r="C444" s="118">
        <v>108.45</v>
      </c>
      <c r="D444" s="118">
        <v>110.16</v>
      </c>
      <c r="E444" s="118">
        <v>117.27</v>
      </c>
      <c r="F444" s="63">
        <f t="shared" si="278"/>
        <v>111.96</v>
      </c>
      <c r="G444" s="109">
        <f>SUM(112*92)</f>
        <v>10304</v>
      </c>
      <c r="H444" s="118">
        <v>107.84</v>
      </c>
      <c r="I444" s="118">
        <v>103.8</v>
      </c>
      <c r="J444" s="118">
        <v>86.129000000000005</v>
      </c>
      <c r="K444" s="63">
        <f t="shared" si="279"/>
        <v>99.25633333333333</v>
      </c>
      <c r="L444" s="108">
        <f t="shared" si="280"/>
        <v>9131.5826666666671</v>
      </c>
      <c r="M444" s="118">
        <v>96.225999999999999</v>
      </c>
      <c r="N444" s="86">
        <v>108.34</v>
      </c>
      <c r="O444" s="86">
        <v>115.23</v>
      </c>
      <c r="P444" s="63">
        <f t="shared" si="281"/>
        <v>106.59866666666666</v>
      </c>
      <c r="Q444" s="108">
        <f t="shared" si="282"/>
        <v>9700.478666666666</v>
      </c>
      <c r="R444" s="118">
        <v>112.93</v>
      </c>
      <c r="S444" s="86">
        <v>111.13</v>
      </c>
      <c r="T444" s="123">
        <v>114.2</v>
      </c>
      <c r="U444" s="63">
        <f t="shared" si="283"/>
        <v>112.75333333333333</v>
      </c>
      <c r="V444" s="111">
        <f t="shared" si="284"/>
        <v>10260.553333333333</v>
      </c>
      <c r="W444" s="64">
        <f t="shared" si="285"/>
        <v>107.64208333333335</v>
      </c>
      <c r="X444" s="65">
        <f t="shared" si="286"/>
        <v>39397.002500000002</v>
      </c>
    </row>
    <row r="445" spans="1:25" ht="16.5" thickBot="1" x14ac:dyDescent="0.3">
      <c r="A445" s="50" t="s">
        <v>128</v>
      </c>
      <c r="B445" s="44" t="s">
        <v>249</v>
      </c>
      <c r="C445" s="3">
        <v>389.709</v>
      </c>
      <c r="D445" s="3">
        <v>392.774</v>
      </c>
      <c r="E445" s="3">
        <v>412</v>
      </c>
      <c r="F445" s="63">
        <f t="shared" si="278"/>
        <v>398.161</v>
      </c>
      <c r="G445" s="109">
        <f>SUM(398*92)</f>
        <v>36616</v>
      </c>
      <c r="H445" s="3">
        <v>408.39</v>
      </c>
      <c r="I445" s="3">
        <v>410.37</v>
      </c>
      <c r="J445" s="3">
        <v>416.81</v>
      </c>
      <c r="K445" s="63">
        <f t="shared" si="279"/>
        <v>411.85666666666663</v>
      </c>
      <c r="L445" s="108">
        <f t="shared" si="280"/>
        <v>37890.813333333332</v>
      </c>
      <c r="M445" s="3">
        <v>405.61</v>
      </c>
      <c r="N445" s="87">
        <v>401.28</v>
      </c>
      <c r="O445" s="87">
        <v>400.97</v>
      </c>
      <c r="P445" s="63">
        <f t="shared" si="281"/>
        <v>402.62000000000006</v>
      </c>
      <c r="Q445" s="108">
        <f t="shared" si="282"/>
        <v>36638.420000000006</v>
      </c>
      <c r="R445" s="3">
        <v>403.67</v>
      </c>
      <c r="S445" s="87">
        <v>390.48</v>
      </c>
      <c r="T445" s="124">
        <v>387.1</v>
      </c>
      <c r="U445" s="63">
        <f t="shared" si="283"/>
        <v>393.75</v>
      </c>
      <c r="V445" s="111">
        <f t="shared" si="284"/>
        <v>35831.25</v>
      </c>
      <c r="W445" s="64">
        <f t="shared" si="285"/>
        <v>401.59691666666669</v>
      </c>
      <c r="X445" s="65">
        <f t="shared" si="286"/>
        <v>146984.47150000001</v>
      </c>
    </row>
    <row r="446" spans="1:25" ht="16.5" thickBot="1" x14ac:dyDescent="0.3">
      <c r="A446" s="50" t="s">
        <v>24</v>
      </c>
      <c r="B446" s="44" t="s">
        <v>250</v>
      </c>
      <c r="C446" s="3">
        <v>221.90299999999999</v>
      </c>
      <c r="D446" s="3">
        <v>206.29</v>
      </c>
      <c r="E446" s="3">
        <v>202.3</v>
      </c>
      <c r="F446" s="63">
        <f t="shared" si="278"/>
        <v>210.1643333333333</v>
      </c>
      <c r="G446" s="109">
        <f>SUM(210*92)</f>
        <v>19320</v>
      </c>
      <c r="H446" s="3">
        <v>216.77</v>
      </c>
      <c r="I446" s="3">
        <v>213.73</v>
      </c>
      <c r="J446" s="3">
        <v>199.03</v>
      </c>
      <c r="K446" s="63">
        <f t="shared" si="279"/>
        <v>209.84333333333333</v>
      </c>
      <c r="L446" s="108">
        <f t="shared" si="280"/>
        <v>19305.586666666666</v>
      </c>
      <c r="M446" s="3">
        <v>211.23</v>
      </c>
      <c r="N446" s="87">
        <v>214.55</v>
      </c>
      <c r="O446" s="87">
        <v>223.19</v>
      </c>
      <c r="P446" s="63">
        <f t="shared" si="281"/>
        <v>216.32333333333335</v>
      </c>
      <c r="Q446" s="108">
        <f t="shared" si="282"/>
        <v>19685.423333333336</v>
      </c>
      <c r="R446" s="3">
        <v>209.57</v>
      </c>
      <c r="S446" s="87">
        <v>217.13</v>
      </c>
      <c r="T446" s="124">
        <v>220</v>
      </c>
      <c r="U446" s="63">
        <f t="shared" si="283"/>
        <v>215.56666666666669</v>
      </c>
      <c r="V446" s="111">
        <f t="shared" si="284"/>
        <v>19616.566666666669</v>
      </c>
      <c r="W446" s="64">
        <f t="shared" si="285"/>
        <v>212.97441666666668</v>
      </c>
      <c r="X446" s="65">
        <f t="shared" si="286"/>
        <v>77948.636500000008</v>
      </c>
    </row>
    <row r="447" spans="1:25" ht="16.5" thickBot="1" x14ac:dyDescent="0.3">
      <c r="A447" s="51" t="s">
        <v>259</v>
      </c>
      <c r="B447" s="44" t="s">
        <v>251</v>
      </c>
      <c r="C447" s="3">
        <v>279.06400000000002</v>
      </c>
      <c r="D447" s="3">
        <v>275.29000000000002</v>
      </c>
      <c r="E447" s="3">
        <v>293.33</v>
      </c>
      <c r="F447" s="63">
        <f t="shared" si="278"/>
        <v>282.56133333333332</v>
      </c>
      <c r="G447" s="109">
        <f>SUM(283*92)</f>
        <v>26036</v>
      </c>
      <c r="H447" s="3">
        <v>307.42200000000003</v>
      </c>
      <c r="I447" s="3">
        <v>302</v>
      </c>
      <c r="J447" s="3">
        <v>291.51600000000002</v>
      </c>
      <c r="K447" s="63">
        <f t="shared" si="279"/>
        <v>300.3126666666667</v>
      </c>
      <c r="L447" s="108">
        <f t="shared" si="280"/>
        <v>27628.765333333336</v>
      </c>
      <c r="M447" s="3">
        <v>291.02999999999997</v>
      </c>
      <c r="N447" s="87">
        <v>313.83</v>
      </c>
      <c r="O447" s="87">
        <v>308.70999999999998</v>
      </c>
      <c r="P447" s="63">
        <f t="shared" si="281"/>
        <v>304.52333333333331</v>
      </c>
      <c r="Q447" s="108">
        <f t="shared" si="282"/>
        <v>27711.623333333333</v>
      </c>
      <c r="R447" s="3">
        <v>295.637</v>
      </c>
      <c r="S447" s="87">
        <v>287.77</v>
      </c>
      <c r="T447" s="124">
        <v>293.67</v>
      </c>
      <c r="U447" s="63">
        <f t="shared" si="283"/>
        <v>292.35899999999998</v>
      </c>
      <c r="V447" s="111">
        <f t="shared" si="284"/>
        <v>26604.668999999998</v>
      </c>
      <c r="W447" s="64">
        <f t="shared" si="285"/>
        <v>294.93908333333337</v>
      </c>
      <c r="X447" s="65">
        <f t="shared" si="286"/>
        <v>107947.70450000001</v>
      </c>
    </row>
    <row r="448" spans="1:25" ht="16.5" thickBot="1" x14ac:dyDescent="0.3">
      <c r="A448" s="50" t="s">
        <v>15</v>
      </c>
      <c r="B448" s="44" t="s">
        <v>252</v>
      </c>
      <c r="C448" s="3">
        <v>50.58</v>
      </c>
      <c r="D448" s="3">
        <v>58.515999999999998</v>
      </c>
      <c r="E448" s="3">
        <v>61.5</v>
      </c>
      <c r="F448" s="63">
        <f t="shared" si="278"/>
        <v>56.865333333333332</v>
      </c>
      <c r="G448" s="109">
        <f>SUM(57*92)</f>
        <v>5244</v>
      </c>
      <c r="H448" s="3">
        <v>61.29</v>
      </c>
      <c r="I448" s="3">
        <v>59.033000000000001</v>
      </c>
      <c r="J448" s="3">
        <v>55.387</v>
      </c>
      <c r="K448" s="63">
        <f t="shared" si="279"/>
        <v>58.57</v>
      </c>
      <c r="L448" s="108">
        <f t="shared" si="280"/>
        <v>5388.44</v>
      </c>
      <c r="M448" s="3">
        <v>56.323</v>
      </c>
      <c r="N448" s="87">
        <v>63.621000000000002</v>
      </c>
      <c r="O448" s="87">
        <v>60.871000000000002</v>
      </c>
      <c r="P448" s="63">
        <f t="shared" si="281"/>
        <v>60.271666666666668</v>
      </c>
      <c r="Q448" s="108">
        <f t="shared" si="282"/>
        <v>5484.7216666666673</v>
      </c>
      <c r="R448" s="3">
        <v>61.5</v>
      </c>
      <c r="S448" s="87">
        <v>61.29</v>
      </c>
      <c r="T448" s="124">
        <v>59</v>
      </c>
      <c r="U448" s="63">
        <f t="shared" si="283"/>
        <v>60.596666666666664</v>
      </c>
      <c r="V448" s="111">
        <f t="shared" si="284"/>
        <v>5514.2966666666662</v>
      </c>
      <c r="W448" s="64">
        <f t="shared" si="285"/>
        <v>59.075916666666664</v>
      </c>
      <c r="X448" s="65">
        <f t="shared" si="286"/>
        <v>21621.785499999998</v>
      </c>
    </row>
    <row r="449" spans="1:24" ht="16.5" thickBot="1" x14ac:dyDescent="0.3">
      <c r="A449" s="50" t="s">
        <v>16</v>
      </c>
      <c r="B449" s="44" t="s">
        <v>253</v>
      </c>
      <c r="C449" s="3">
        <v>166.96700000000001</v>
      </c>
      <c r="D449" s="3">
        <v>159.322</v>
      </c>
      <c r="E449" s="3">
        <v>164</v>
      </c>
      <c r="F449" s="63">
        <f t="shared" si="278"/>
        <v>163.42966666666666</v>
      </c>
      <c r="G449" s="109">
        <f>SUM(163*92)</f>
        <v>14996</v>
      </c>
      <c r="H449" s="3">
        <v>173</v>
      </c>
      <c r="I449" s="3">
        <v>172.03</v>
      </c>
      <c r="J449" s="3">
        <v>162.94</v>
      </c>
      <c r="K449" s="63">
        <f t="shared" si="279"/>
        <v>169.32333333333332</v>
      </c>
      <c r="L449" s="108">
        <f t="shared" si="280"/>
        <v>15577.746666666666</v>
      </c>
      <c r="M449" s="3">
        <v>170.26</v>
      </c>
      <c r="N449" s="87">
        <v>174.48</v>
      </c>
      <c r="O449" s="87">
        <v>168.1</v>
      </c>
      <c r="P449" s="63">
        <f t="shared" si="281"/>
        <v>170.94666666666669</v>
      </c>
      <c r="Q449" s="108">
        <f t="shared" si="282"/>
        <v>15556.146666666669</v>
      </c>
      <c r="R449" s="3">
        <v>165.43</v>
      </c>
      <c r="S449" s="87">
        <v>168.26</v>
      </c>
      <c r="T449" s="124">
        <v>177.83</v>
      </c>
      <c r="U449" s="63">
        <f t="shared" si="283"/>
        <v>170.50666666666666</v>
      </c>
      <c r="V449" s="111">
        <f t="shared" si="284"/>
        <v>15516.106666666667</v>
      </c>
      <c r="W449" s="64">
        <f t="shared" si="285"/>
        <v>168.55158333333333</v>
      </c>
      <c r="X449" s="65">
        <f t="shared" si="286"/>
        <v>61689.879499999995</v>
      </c>
    </row>
    <row r="450" spans="1:24" ht="16.5" thickBot="1" x14ac:dyDescent="0.3">
      <c r="A450" s="50" t="s">
        <v>129</v>
      </c>
      <c r="B450" s="44" t="s">
        <v>254</v>
      </c>
      <c r="C450" s="3">
        <v>71</v>
      </c>
      <c r="D450" s="3">
        <v>75.548000000000002</v>
      </c>
      <c r="E450" s="3">
        <v>88.1</v>
      </c>
      <c r="F450" s="63">
        <f t="shared" si="278"/>
        <v>78.215999999999994</v>
      </c>
      <c r="G450" s="109">
        <f>SUM(78*92)</f>
        <v>7176</v>
      </c>
      <c r="H450" s="3">
        <v>89.903000000000006</v>
      </c>
      <c r="I450" s="3">
        <v>86.867000000000004</v>
      </c>
      <c r="J450" s="3">
        <v>86.322999999999993</v>
      </c>
      <c r="K450" s="63">
        <f t="shared" si="279"/>
        <v>87.697666666666677</v>
      </c>
      <c r="L450" s="108">
        <f t="shared" si="280"/>
        <v>8068.1853333333347</v>
      </c>
      <c r="M450" s="3">
        <v>89.644999999999996</v>
      </c>
      <c r="N450" s="87">
        <v>92.171999999999997</v>
      </c>
      <c r="O450" s="87">
        <v>90.613</v>
      </c>
      <c r="P450" s="63">
        <f t="shared" si="281"/>
        <v>90.81</v>
      </c>
      <c r="Q450" s="108">
        <f t="shared" si="282"/>
        <v>8263.7100000000009</v>
      </c>
      <c r="R450" s="3">
        <v>92.733000000000004</v>
      </c>
      <c r="S450" s="87">
        <v>91.418999999999997</v>
      </c>
      <c r="T450" s="124">
        <v>88.566999999999993</v>
      </c>
      <c r="U450" s="63">
        <f t="shared" si="283"/>
        <v>90.906333333333336</v>
      </c>
      <c r="V450" s="111">
        <f t="shared" si="284"/>
        <v>8272.476333333334</v>
      </c>
      <c r="W450" s="64">
        <f t="shared" si="285"/>
        <v>86.907499999999985</v>
      </c>
      <c r="X450" s="65">
        <f t="shared" si="286"/>
        <v>31808.144999999993</v>
      </c>
    </row>
    <row r="451" spans="1:24" ht="16.5" thickBot="1" x14ac:dyDescent="0.3">
      <c r="A451" s="51" t="s">
        <v>260</v>
      </c>
      <c r="B451" s="44" t="s">
        <v>255</v>
      </c>
      <c r="C451" s="3">
        <v>372.45100000000002</v>
      </c>
      <c r="D451" s="3">
        <v>375.45100000000002</v>
      </c>
      <c r="E451" s="3">
        <v>395.3</v>
      </c>
      <c r="F451" s="63">
        <f t="shared" si="278"/>
        <v>381.06733333333335</v>
      </c>
      <c r="G451" s="109">
        <f>SUM(381*92)</f>
        <v>35052</v>
      </c>
      <c r="H451" s="3">
        <v>396.16</v>
      </c>
      <c r="I451" s="3">
        <v>387.14</v>
      </c>
      <c r="J451" s="3">
        <v>382.19</v>
      </c>
      <c r="K451" s="63">
        <f t="shared" si="279"/>
        <v>388.49666666666667</v>
      </c>
      <c r="L451" s="108">
        <f t="shared" si="280"/>
        <v>35741.693333333336</v>
      </c>
      <c r="M451" s="3">
        <v>383.2</v>
      </c>
      <c r="N451" s="87">
        <v>386.59</v>
      </c>
      <c r="O451" s="87">
        <v>389.62</v>
      </c>
      <c r="P451" s="63">
        <f t="shared" si="281"/>
        <v>386.46999999999997</v>
      </c>
      <c r="Q451" s="108">
        <f t="shared" si="282"/>
        <v>35168.769999999997</v>
      </c>
      <c r="R451" s="3">
        <v>390.5</v>
      </c>
      <c r="S451" s="87">
        <v>372.84</v>
      </c>
      <c r="T451" s="124">
        <v>376.1</v>
      </c>
      <c r="U451" s="63">
        <f t="shared" si="283"/>
        <v>379.81333333333333</v>
      </c>
      <c r="V451" s="111">
        <f t="shared" si="284"/>
        <v>34563.013333333336</v>
      </c>
      <c r="W451" s="64">
        <f t="shared" si="285"/>
        <v>383.96183333333335</v>
      </c>
      <c r="X451" s="65">
        <f t="shared" si="286"/>
        <v>140530.03100000002</v>
      </c>
    </row>
    <row r="452" spans="1:24" ht="15.75" x14ac:dyDescent="0.25">
      <c r="A452" s="50" t="s">
        <v>138</v>
      </c>
      <c r="B452" s="121" t="s">
        <v>263</v>
      </c>
      <c r="C452" s="3">
        <v>92</v>
      </c>
      <c r="D452" s="3">
        <v>91</v>
      </c>
      <c r="E452" s="3">
        <v>106</v>
      </c>
      <c r="F452" s="63">
        <f>SUM(C452:E452)/3</f>
        <v>96.333333333333329</v>
      </c>
      <c r="G452" s="109">
        <f>SUM(96*92)</f>
        <v>8832</v>
      </c>
      <c r="H452" s="3">
        <v>111</v>
      </c>
      <c r="I452" s="3">
        <v>106</v>
      </c>
      <c r="J452" s="3">
        <v>97.774000000000001</v>
      </c>
      <c r="K452" s="63">
        <f>SUM(H452:J452)/3</f>
        <v>104.92466666666667</v>
      </c>
      <c r="L452" s="108">
        <f t="shared" si="280"/>
        <v>9653.0693333333329</v>
      </c>
      <c r="M452" s="3">
        <v>92.161000000000001</v>
      </c>
      <c r="N452" s="87">
        <v>83.897000000000006</v>
      </c>
      <c r="O452" s="87">
        <v>88.29</v>
      </c>
      <c r="P452" s="63">
        <f>SUM(M452:O452)/3</f>
        <v>88.116</v>
      </c>
      <c r="Q452" s="108">
        <f t="shared" si="282"/>
        <v>8018.5559999999996</v>
      </c>
      <c r="R452" s="3">
        <v>101.1</v>
      </c>
      <c r="S452" s="87">
        <v>98.257999999999996</v>
      </c>
      <c r="T452" s="124">
        <v>93.3</v>
      </c>
      <c r="U452" s="63">
        <f>SUM(R452:T452)/3</f>
        <v>97.552666666666667</v>
      </c>
      <c r="V452" s="111">
        <f t="shared" si="284"/>
        <v>8877.2926666666663</v>
      </c>
      <c r="W452" s="64">
        <f t="shared" si="285"/>
        <v>96.731666666666669</v>
      </c>
      <c r="X452" s="65">
        <f t="shared" si="286"/>
        <v>35403.79</v>
      </c>
    </row>
    <row r="453" spans="1:24" ht="16.5" thickBot="1" x14ac:dyDescent="0.3">
      <c r="A453" s="49" t="s">
        <v>19</v>
      </c>
      <c r="B453" s="43" t="s">
        <v>256</v>
      </c>
      <c r="C453" s="118">
        <v>484.64499999999998</v>
      </c>
      <c r="D453" s="118">
        <v>481.90300000000002</v>
      </c>
      <c r="E453" s="118">
        <v>492</v>
      </c>
      <c r="F453" s="63">
        <f t="shared" si="278"/>
        <v>486.18266666666665</v>
      </c>
      <c r="G453" s="111">
        <f>SUM(486*92)</f>
        <v>44712</v>
      </c>
      <c r="H453" s="118">
        <v>496.65</v>
      </c>
      <c r="I453" s="3">
        <v>490.83</v>
      </c>
      <c r="J453" s="3">
        <v>451.52</v>
      </c>
      <c r="K453" s="63">
        <f t="shared" si="279"/>
        <v>479.66666666666669</v>
      </c>
      <c r="L453" s="111">
        <f t="shared" si="280"/>
        <v>44129.333333333336</v>
      </c>
      <c r="M453" s="118">
        <v>474.68</v>
      </c>
      <c r="N453" s="86">
        <v>484.24</v>
      </c>
      <c r="O453" s="86">
        <v>491.52</v>
      </c>
      <c r="P453" s="63">
        <f t="shared" si="281"/>
        <v>483.48</v>
      </c>
      <c r="Q453" s="111">
        <f t="shared" si="282"/>
        <v>43996.68</v>
      </c>
      <c r="R453" s="3">
        <v>488</v>
      </c>
      <c r="S453" s="86">
        <v>484.74</v>
      </c>
      <c r="T453" s="124">
        <v>487.2</v>
      </c>
      <c r="U453" s="63">
        <f t="shared" si="283"/>
        <v>486.6466666666667</v>
      </c>
      <c r="V453" s="111">
        <f t="shared" si="284"/>
        <v>44284.846666666672</v>
      </c>
      <c r="W453" s="64">
        <f t="shared" si="285"/>
        <v>483.99399999999991</v>
      </c>
      <c r="X453" s="65">
        <f t="shared" si="286"/>
        <v>177141.80399999997</v>
      </c>
    </row>
    <row r="454" spans="1:24" ht="16.5" thickBot="1" x14ac:dyDescent="0.3">
      <c r="A454" s="51" t="s">
        <v>261</v>
      </c>
      <c r="B454" s="44" t="s">
        <v>257</v>
      </c>
      <c r="C454" s="3">
        <v>348.7</v>
      </c>
      <c r="D454" s="3">
        <v>358.90199999999999</v>
      </c>
      <c r="E454" s="3">
        <v>365.1</v>
      </c>
      <c r="F454" s="63">
        <f t="shared" si="278"/>
        <v>357.56733333333335</v>
      </c>
      <c r="G454" s="109">
        <f>SUM(358*92)</f>
        <v>32936</v>
      </c>
      <c r="H454" s="3">
        <v>367.33</v>
      </c>
      <c r="I454" s="3">
        <v>370.16</v>
      </c>
      <c r="J454" s="3">
        <v>363.26</v>
      </c>
      <c r="K454" s="63">
        <f t="shared" si="279"/>
        <v>366.91666666666669</v>
      </c>
      <c r="L454" s="108">
        <f t="shared" si="280"/>
        <v>33756.333333333336</v>
      </c>
      <c r="M454" s="3">
        <v>364.8</v>
      </c>
      <c r="N454" s="87">
        <v>354.28</v>
      </c>
      <c r="O454" s="87">
        <v>363.49</v>
      </c>
      <c r="P454" s="63">
        <f t="shared" si="281"/>
        <v>360.85666666666663</v>
      </c>
      <c r="Q454" s="108">
        <f t="shared" si="282"/>
        <v>32837.956666666665</v>
      </c>
      <c r="R454" s="3">
        <v>349.27</v>
      </c>
      <c r="S454" s="87">
        <v>331.78</v>
      </c>
      <c r="T454" s="124">
        <v>319.37</v>
      </c>
      <c r="U454" s="63">
        <f t="shared" si="283"/>
        <v>333.4733333333333</v>
      </c>
      <c r="V454" s="111">
        <f t="shared" si="284"/>
        <v>30346.07333333333</v>
      </c>
      <c r="W454" s="64">
        <f t="shared" si="285"/>
        <v>354.70350000000002</v>
      </c>
      <c r="X454" s="65">
        <f t="shared" si="286"/>
        <v>129821.48100000001</v>
      </c>
    </row>
    <row r="455" spans="1:24" ht="16.5" thickBot="1" x14ac:dyDescent="0.3">
      <c r="A455" s="50" t="s">
        <v>130</v>
      </c>
      <c r="B455" s="44" t="s">
        <v>258</v>
      </c>
      <c r="C455" s="3">
        <v>114.709</v>
      </c>
      <c r="D455" s="3">
        <v>124.193</v>
      </c>
      <c r="E455" s="3">
        <v>132.9</v>
      </c>
      <c r="F455" s="63">
        <f t="shared" si="278"/>
        <v>123.93400000000001</v>
      </c>
      <c r="G455" s="109">
        <f>SUM(124*92)</f>
        <v>11408</v>
      </c>
      <c r="H455" s="3">
        <v>122.55</v>
      </c>
      <c r="I455" s="3">
        <v>125.7</v>
      </c>
      <c r="J455" s="3">
        <v>124.13</v>
      </c>
      <c r="K455" s="63">
        <f t="shared" si="279"/>
        <v>124.12666666666667</v>
      </c>
      <c r="L455" s="108">
        <f t="shared" si="280"/>
        <v>11419.653333333334</v>
      </c>
      <c r="M455" s="3">
        <v>117.77</v>
      </c>
      <c r="N455" s="87">
        <v>115.55</v>
      </c>
      <c r="O455" s="87">
        <v>123.13</v>
      </c>
      <c r="P455" s="63">
        <f t="shared" si="281"/>
        <v>118.81666666666666</v>
      </c>
      <c r="Q455" s="108">
        <f t="shared" si="282"/>
        <v>10812.316666666666</v>
      </c>
      <c r="R455" s="3">
        <v>112.07</v>
      </c>
      <c r="S455" s="87">
        <v>107.61</v>
      </c>
      <c r="T455" s="124">
        <v>119.03</v>
      </c>
      <c r="U455" s="63">
        <f t="shared" si="283"/>
        <v>112.90333333333335</v>
      </c>
      <c r="V455" s="111">
        <f t="shared" si="284"/>
        <v>10274.203333333335</v>
      </c>
      <c r="W455" s="64">
        <f t="shared" si="285"/>
        <v>119.94516666666665</v>
      </c>
      <c r="X455" s="65">
        <f t="shared" si="286"/>
        <v>43899.930999999997</v>
      </c>
    </row>
    <row r="456" spans="1:24" ht="16.5" thickBot="1" x14ac:dyDescent="0.3">
      <c r="A456" s="50" t="s">
        <v>131</v>
      </c>
      <c r="B456" s="34"/>
      <c r="C456" s="3">
        <v>0</v>
      </c>
      <c r="D456" s="3">
        <v>0</v>
      </c>
      <c r="E456" s="3">
        <v>0</v>
      </c>
      <c r="F456" s="67">
        <f t="shared" si="278"/>
        <v>0</v>
      </c>
      <c r="G456" s="110">
        <f>SUM(F456*92)</f>
        <v>0</v>
      </c>
      <c r="H456" s="3">
        <v>0</v>
      </c>
      <c r="I456" s="3">
        <v>0</v>
      </c>
      <c r="J456" s="3">
        <v>0</v>
      </c>
      <c r="K456" s="67">
        <f t="shared" si="279"/>
        <v>0</v>
      </c>
      <c r="L456" s="108">
        <f t="shared" si="280"/>
        <v>0</v>
      </c>
      <c r="M456" s="3">
        <v>0</v>
      </c>
      <c r="N456" s="87">
        <v>0</v>
      </c>
      <c r="O456" s="87">
        <v>0</v>
      </c>
      <c r="P456" s="67">
        <f t="shared" si="281"/>
        <v>0</v>
      </c>
      <c r="Q456" s="108">
        <f t="shared" si="282"/>
        <v>0</v>
      </c>
      <c r="R456" s="3">
        <v>0</v>
      </c>
      <c r="S456" s="87"/>
      <c r="T456" s="124"/>
      <c r="U456" s="67">
        <f t="shared" si="283"/>
        <v>0</v>
      </c>
      <c r="V456" s="111">
        <f t="shared" si="284"/>
        <v>0</v>
      </c>
      <c r="W456" s="64">
        <f t="shared" si="285"/>
        <v>0</v>
      </c>
      <c r="X456" s="65">
        <f t="shared" si="286"/>
        <v>0</v>
      </c>
    </row>
    <row r="457" spans="1:24" ht="16.5" thickBot="1" x14ac:dyDescent="0.3">
      <c r="A457" s="46" t="s">
        <v>139</v>
      </c>
      <c r="B457" s="35"/>
      <c r="C457" s="80">
        <v>3005</v>
      </c>
      <c r="D457" s="80">
        <v>3023</v>
      </c>
      <c r="E457" s="80">
        <v>3139</v>
      </c>
      <c r="F457" s="68">
        <f t="shared" si="278"/>
        <v>3055.6666666666665</v>
      </c>
      <c r="G457" s="95">
        <f>SUM(3056*92)</f>
        <v>281152</v>
      </c>
      <c r="H457" s="94">
        <f>SUM(H443:H456)</f>
        <v>3277.9150000000004</v>
      </c>
      <c r="I457" s="80">
        <f>SUM(I443:I456)</f>
        <v>3243.5599999999995</v>
      </c>
      <c r="J457" s="80">
        <f>SUM(J443:J456)</f>
        <v>3149.5290000000005</v>
      </c>
      <c r="K457" s="68">
        <f t="shared" si="279"/>
        <v>3223.6680000000001</v>
      </c>
      <c r="L457" s="119">
        <f t="shared" si="280"/>
        <v>296577.45600000001</v>
      </c>
      <c r="M457" s="9">
        <v>3176</v>
      </c>
      <c r="N457" s="80">
        <f>SUM(N443:N456)</f>
        <v>3212.2799999999997</v>
      </c>
      <c r="O457" s="80">
        <f>SUM(O443:O456)</f>
        <v>3230.674</v>
      </c>
      <c r="P457" s="68">
        <f t="shared" si="281"/>
        <v>3206.3179999999998</v>
      </c>
      <c r="Q457" s="119">
        <f t="shared" si="282"/>
        <v>291774.93799999997</v>
      </c>
      <c r="R457" s="94">
        <f>SUM(R443:R456)</f>
        <v>3189.3399999999997</v>
      </c>
      <c r="S457" s="80">
        <f>SUM(S443:S456)</f>
        <v>3119.6069999999995</v>
      </c>
      <c r="T457" s="81">
        <f>SUM(T443:T456)</f>
        <v>3130.7670000000003</v>
      </c>
      <c r="U457" s="68">
        <f t="shared" si="283"/>
        <v>3146.5713333333333</v>
      </c>
      <c r="V457" s="136">
        <f t="shared" si="284"/>
        <v>286337.99133333331</v>
      </c>
      <c r="W457" s="69">
        <v>0</v>
      </c>
      <c r="X457" s="69">
        <f>SUM(X443:X456)</f>
        <v>1164671.0785000001</v>
      </c>
    </row>
    <row r="458" spans="1:24" ht="16.5" thickBot="1" x14ac:dyDescent="0.3">
      <c r="A458" s="46" t="s">
        <v>140</v>
      </c>
      <c r="B458" s="35"/>
      <c r="C458" s="70"/>
      <c r="D458" s="70"/>
      <c r="E458" s="71"/>
      <c r="F458" s="98"/>
      <c r="G458" s="98"/>
      <c r="H458" s="72"/>
      <c r="I458" s="70" t="s">
        <v>236</v>
      </c>
      <c r="J458" s="71"/>
      <c r="K458" s="97"/>
      <c r="L458" s="97"/>
      <c r="M458" s="72"/>
      <c r="N458" s="70"/>
      <c r="O458" s="71"/>
      <c r="P458" s="97"/>
      <c r="Q458" s="97"/>
      <c r="R458" s="72"/>
      <c r="S458" s="70"/>
      <c r="T458" s="71"/>
      <c r="U458" s="71"/>
      <c r="V458" s="70"/>
      <c r="W458" s="96"/>
      <c r="X458" s="69" t="s">
        <v>0</v>
      </c>
    </row>
    <row r="459" spans="1:24" ht="16.5" thickBot="1" x14ac:dyDescent="0.3">
      <c r="A459" s="49" t="s">
        <v>132</v>
      </c>
      <c r="B459" s="33"/>
      <c r="C459" s="73">
        <v>668</v>
      </c>
      <c r="D459" s="73">
        <v>661</v>
      </c>
      <c r="E459" s="73">
        <v>682</v>
      </c>
      <c r="F459" s="63">
        <f t="shared" ref="F459:F465" si="287">SUM(C459:E459)/3</f>
        <v>670.33333333333337</v>
      </c>
      <c r="G459" s="108">
        <f>SUM(670*92)</f>
        <v>61640</v>
      </c>
      <c r="H459" s="6">
        <v>685</v>
      </c>
      <c r="I459" s="6">
        <v>686</v>
      </c>
      <c r="J459" s="6">
        <v>683</v>
      </c>
      <c r="K459" s="63">
        <f t="shared" ref="K459:K466" si="288">SUM(H459:J459)/3</f>
        <v>684.66666666666663</v>
      </c>
      <c r="L459" s="108">
        <f t="shared" ref="L459:L465" si="289">K459*92</f>
        <v>62989.333333333328</v>
      </c>
      <c r="M459" s="6">
        <v>696</v>
      </c>
      <c r="N459" s="73">
        <v>707</v>
      </c>
      <c r="O459" s="73">
        <v>705</v>
      </c>
      <c r="P459" s="63">
        <f t="shared" ref="P459:P466" si="290">SUM(M459:O459)/3</f>
        <v>702.66666666666663</v>
      </c>
      <c r="Q459" s="108">
        <f t="shared" ref="Q459:Q465" si="291">P459*91</f>
        <v>63942.666666666664</v>
      </c>
      <c r="R459" s="6">
        <v>688</v>
      </c>
      <c r="S459" s="73">
        <v>684</v>
      </c>
      <c r="T459" s="7">
        <v>619</v>
      </c>
      <c r="U459" s="63">
        <f t="shared" ref="U459:U466" si="292">SUM(R459:T459)/3</f>
        <v>663.66666666666663</v>
      </c>
      <c r="V459" s="111">
        <f t="shared" ref="V459:V465" si="293">U459*91</f>
        <v>60393.666666666664</v>
      </c>
      <c r="W459" s="64">
        <f t="shared" ref="W459:W464" si="294">SUM(C459+D459+E459+H459+I459+J459+M459+N459+O459+R459+S459+T459)/12</f>
        <v>680.33333333333337</v>
      </c>
      <c r="X459" s="65">
        <f>W459*365</f>
        <v>248321.66666666669</v>
      </c>
    </row>
    <row r="460" spans="1:24" ht="16.5" thickBot="1" x14ac:dyDescent="0.3">
      <c r="A460" s="50" t="s">
        <v>133</v>
      </c>
      <c r="B460" s="34"/>
      <c r="C460" s="75">
        <v>31</v>
      </c>
      <c r="D460" s="75">
        <v>33</v>
      </c>
      <c r="E460" s="75">
        <v>28</v>
      </c>
      <c r="F460" s="63">
        <f t="shared" si="287"/>
        <v>30.666666666666668</v>
      </c>
      <c r="G460" s="109">
        <f>SUM(31*92)</f>
        <v>2852</v>
      </c>
      <c r="H460" s="5">
        <v>30</v>
      </c>
      <c r="I460" s="5">
        <v>32</v>
      </c>
      <c r="J460" s="5">
        <v>27</v>
      </c>
      <c r="K460" s="63">
        <f t="shared" si="288"/>
        <v>29.666666666666668</v>
      </c>
      <c r="L460" s="108">
        <f t="shared" si="289"/>
        <v>2729.3333333333335</v>
      </c>
      <c r="M460" s="5">
        <v>26</v>
      </c>
      <c r="N460" s="75">
        <v>25</v>
      </c>
      <c r="O460" s="75">
        <v>21</v>
      </c>
      <c r="P460" s="63">
        <f t="shared" si="290"/>
        <v>24</v>
      </c>
      <c r="Q460" s="108">
        <f t="shared" si="291"/>
        <v>2184</v>
      </c>
      <c r="R460" s="5">
        <v>20</v>
      </c>
      <c r="S460" s="75">
        <v>23</v>
      </c>
      <c r="T460" s="8">
        <v>20</v>
      </c>
      <c r="U460" s="63">
        <f t="shared" si="292"/>
        <v>21</v>
      </c>
      <c r="V460" s="111">
        <f t="shared" si="293"/>
        <v>1911</v>
      </c>
      <c r="W460" s="64">
        <f t="shared" si="294"/>
        <v>26.333333333333332</v>
      </c>
      <c r="X460" s="66">
        <f>W460*122</f>
        <v>3212.6666666666665</v>
      </c>
    </row>
    <row r="461" spans="1:24" ht="16.5" thickBot="1" x14ac:dyDescent="0.3">
      <c r="A461" s="50" t="s">
        <v>135</v>
      </c>
      <c r="B461" s="34"/>
      <c r="C461" s="75">
        <v>34</v>
      </c>
      <c r="D461" s="75">
        <v>33</v>
      </c>
      <c r="E461" s="75">
        <v>38</v>
      </c>
      <c r="F461" s="63">
        <f t="shared" si="287"/>
        <v>35</v>
      </c>
      <c r="G461" s="109">
        <f>SUM(35*92)</f>
        <v>3220</v>
      </c>
      <c r="H461" s="5">
        <v>34</v>
      </c>
      <c r="I461" s="5">
        <v>32</v>
      </c>
      <c r="J461" s="5">
        <v>31</v>
      </c>
      <c r="K461" s="63">
        <f t="shared" si="288"/>
        <v>32.333333333333336</v>
      </c>
      <c r="L461" s="108">
        <f t="shared" si="289"/>
        <v>2974.666666666667</v>
      </c>
      <c r="M461" s="5">
        <v>28</v>
      </c>
      <c r="N461" s="75">
        <v>28</v>
      </c>
      <c r="O461" s="75">
        <v>33</v>
      </c>
      <c r="P461" s="63">
        <f t="shared" si="290"/>
        <v>29.666666666666668</v>
      </c>
      <c r="Q461" s="108">
        <f t="shared" si="291"/>
        <v>2699.666666666667</v>
      </c>
      <c r="R461" s="5">
        <v>35</v>
      </c>
      <c r="S461" s="75">
        <v>28</v>
      </c>
      <c r="T461" s="8">
        <v>28</v>
      </c>
      <c r="U461" s="63">
        <f t="shared" si="292"/>
        <v>30.333333333333332</v>
      </c>
      <c r="V461" s="111">
        <f t="shared" si="293"/>
        <v>2760.333333333333</v>
      </c>
      <c r="W461" s="64">
        <f t="shared" si="294"/>
        <v>31.833333333333332</v>
      </c>
      <c r="X461" s="66">
        <f>W461*365</f>
        <v>11619.166666666666</v>
      </c>
    </row>
    <row r="462" spans="1:24" ht="16.5" thickBot="1" x14ac:dyDescent="0.3">
      <c r="A462" s="50" t="s">
        <v>134</v>
      </c>
      <c r="B462" s="34"/>
      <c r="C462" s="75">
        <v>160</v>
      </c>
      <c r="D462" s="75">
        <v>154</v>
      </c>
      <c r="E462" s="75">
        <v>152</v>
      </c>
      <c r="F462" s="63">
        <f t="shared" si="287"/>
        <v>155.33333333333334</v>
      </c>
      <c r="G462" s="109">
        <f>SUM(155*92)</f>
        <v>14260</v>
      </c>
      <c r="H462" s="5">
        <v>163</v>
      </c>
      <c r="I462" s="5">
        <v>164</v>
      </c>
      <c r="J462" s="5">
        <v>144</v>
      </c>
      <c r="K462" s="63">
        <f t="shared" si="288"/>
        <v>157</v>
      </c>
      <c r="L462" s="108">
        <f t="shared" si="289"/>
        <v>14444</v>
      </c>
      <c r="M462" s="5">
        <v>137</v>
      </c>
      <c r="N462" s="75">
        <v>135</v>
      </c>
      <c r="O462" s="75">
        <v>139</v>
      </c>
      <c r="P462" s="63">
        <f t="shared" si="290"/>
        <v>137</v>
      </c>
      <c r="Q462" s="108">
        <f t="shared" si="291"/>
        <v>12467</v>
      </c>
      <c r="R462" s="5">
        <v>156</v>
      </c>
      <c r="S462" s="75">
        <v>157</v>
      </c>
      <c r="T462" s="8">
        <v>131</v>
      </c>
      <c r="U462" s="63">
        <f t="shared" si="292"/>
        <v>148</v>
      </c>
      <c r="V462" s="111">
        <f t="shared" si="293"/>
        <v>13468</v>
      </c>
      <c r="W462" s="64">
        <f t="shared" si="294"/>
        <v>149.33333333333334</v>
      </c>
      <c r="X462" s="66">
        <f>W462*61</f>
        <v>9109.3333333333339</v>
      </c>
    </row>
    <row r="463" spans="1:24" ht="16.5" thickBot="1" x14ac:dyDescent="0.3">
      <c r="A463" s="50" t="s">
        <v>136</v>
      </c>
      <c r="B463" s="34"/>
      <c r="C463" s="75">
        <v>653</v>
      </c>
      <c r="D463" s="75">
        <v>650</v>
      </c>
      <c r="E463" s="75">
        <v>649</v>
      </c>
      <c r="F463" s="63">
        <f t="shared" si="287"/>
        <v>650.66666666666663</v>
      </c>
      <c r="G463" s="109">
        <f>SUM(651*92)</f>
        <v>59892</v>
      </c>
      <c r="H463" s="5">
        <v>647</v>
      </c>
      <c r="I463" s="5">
        <v>666</v>
      </c>
      <c r="J463" s="5">
        <v>685</v>
      </c>
      <c r="K463" s="63">
        <f t="shared" si="288"/>
        <v>666</v>
      </c>
      <c r="L463" s="108">
        <f t="shared" si="289"/>
        <v>61272</v>
      </c>
      <c r="M463" s="5">
        <v>705</v>
      </c>
      <c r="N463" s="75">
        <v>703</v>
      </c>
      <c r="O463" s="75">
        <v>701</v>
      </c>
      <c r="P463" s="63">
        <f t="shared" si="290"/>
        <v>703</v>
      </c>
      <c r="Q463" s="108">
        <f t="shared" si="291"/>
        <v>63973</v>
      </c>
      <c r="R463" s="5">
        <v>698</v>
      </c>
      <c r="S463" s="75">
        <v>698</v>
      </c>
      <c r="T463" s="8">
        <v>685</v>
      </c>
      <c r="U463" s="63">
        <f t="shared" si="292"/>
        <v>693.66666666666663</v>
      </c>
      <c r="V463" s="111">
        <f t="shared" si="293"/>
        <v>63123.666666666664</v>
      </c>
      <c r="W463" s="64">
        <f t="shared" si="294"/>
        <v>678.33333333333337</v>
      </c>
      <c r="X463" s="66">
        <f>W463*365</f>
        <v>247591.66666666669</v>
      </c>
    </row>
    <row r="464" spans="1:24" ht="16.5" thickBot="1" x14ac:dyDescent="0.3">
      <c r="A464" s="50" t="s">
        <v>137</v>
      </c>
      <c r="B464" s="34"/>
      <c r="C464" s="75">
        <v>22</v>
      </c>
      <c r="D464" s="75">
        <v>22</v>
      </c>
      <c r="E464" s="75">
        <v>22</v>
      </c>
      <c r="F464" s="63">
        <f t="shared" si="287"/>
        <v>22</v>
      </c>
      <c r="G464" s="109">
        <f>SUM(22*92)</f>
        <v>2024</v>
      </c>
      <c r="H464" s="5">
        <v>22</v>
      </c>
      <c r="I464" s="5">
        <v>21</v>
      </c>
      <c r="J464" s="5">
        <v>21</v>
      </c>
      <c r="K464" s="63">
        <f t="shared" si="288"/>
        <v>21.333333333333332</v>
      </c>
      <c r="L464" s="108">
        <f t="shared" si="289"/>
        <v>1962.6666666666665</v>
      </c>
      <c r="M464" s="5">
        <v>20</v>
      </c>
      <c r="N464" s="75">
        <v>20</v>
      </c>
      <c r="O464" s="75">
        <v>21</v>
      </c>
      <c r="P464" s="63">
        <f t="shared" si="290"/>
        <v>20.333333333333332</v>
      </c>
      <c r="Q464" s="108">
        <f t="shared" si="291"/>
        <v>1850.3333333333333</v>
      </c>
      <c r="R464" s="5">
        <v>21</v>
      </c>
      <c r="S464" s="75">
        <v>21</v>
      </c>
      <c r="T464" s="8">
        <v>21</v>
      </c>
      <c r="U464" s="63">
        <f t="shared" si="292"/>
        <v>21</v>
      </c>
      <c r="V464" s="111">
        <f t="shared" si="293"/>
        <v>1911</v>
      </c>
      <c r="W464" s="64">
        <f t="shared" si="294"/>
        <v>21.166666666666668</v>
      </c>
      <c r="X464" s="66">
        <f>W464*365</f>
        <v>7725.8333333333339</v>
      </c>
    </row>
    <row r="465" spans="1:24" ht="16.5" thickBot="1" x14ac:dyDescent="0.3">
      <c r="A465" s="53" t="s">
        <v>141</v>
      </c>
      <c r="B465" s="37"/>
      <c r="C465" s="80">
        <f>SUM(C459:C464)</f>
        <v>1568</v>
      </c>
      <c r="D465" s="80">
        <f>SUM(D459:D464)</f>
        <v>1553</v>
      </c>
      <c r="E465" s="80">
        <f>SUM(E459:E464)</f>
        <v>1571</v>
      </c>
      <c r="F465" s="68">
        <f t="shared" si="287"/>
        <v>1564</v>
      </c>
      <c r="G465" s="95">
        <f>SUM(1660*92)</f>
        <v>152720</v>
      </c>
      <c r="H465" s="94">
        <f>SUM(H459:H464)</f>
        <v>1581</v>
      </c>
      <c r="I465" s="80">
        <f>SUM(I459:I464)</f>
        <v>1601</v>
      </c>
      <c r="J465" s="80">
        <f>SUM(J459:J464)</f>
        <v>1591</v>
      </c>
      <c r="K465" s="68">
        <f t="shared" si="288"/>
        <v>1591</v>
      </c>
      <c r="L465" s="119">
        <f t="shared" si="289"/>
        <v>146372</v>
      </c>
      <c r="M465" s="94">
        <f>SUM(M459:M464)</f>
        <v>1612</v>
      </c>
      <c r="N465" s="80">
        <f>SUM(N459:N464)</f>
        <v>1618</v>
      </c>
      <c r="O465" s="80">
        <f>SUM(O459:O464)</f>
        <v>1620</v>
      </c>
      <c r="P465" s="68">
        <f t="shared" si="290"/>
        <v>1616.6666666666667</v>
      </c>
      <c r="Q465" s="119">
        <f t="shared" si="291"/>
        <v>147116.66666666669</v>
      </c>
      <c r="R465" s="94">
        <f>SUM(R459:R464)</f>
        <v>1618</v>
      </c>
      <c r="S465" s="80">
        <f>SUM(S459:S464)</f>
        <v>1611</v>
      </c>
      <c r="T465" s="81">
        <f>SUM(T459:T464)</f>
        <v>1504</v>
      </c>
      <c r="U465" s="68">
        <f t="shared" si="292"/>
        <v>1577.6666666666667</v>
      </c>
      <c r="V465" s="136">
        <f t="shared" si="293"/>
        <v>143567.66666666669</v>
      </c>
      <c r="W465" s="69">
        <f>SUM(W459:W464)</f>
        <v>1587.3333333333337</v>
      </c>
      <c r="X465" s="69">
        <f>SUM(X459:X464)</f>
        <v>527580.33333333337</v>
      </c>
    </row>
    <row r="466" spans="1:24" ht="16.5" thickBot="1" x14ac:dyDescent="0.3">
      <c r="A466" s="54" t="s">
        <v>145</v>
      </c>
      <c r="B466" s="38"/>
      <c r="C466" s="80">
        <f>C457+C465</f>
        <v>4573</v>
      </c>
      <c r="D466" s="80">
        <f>D457+D465</f>
        <v>4576</v>
      </c>
      <c r="E466" s="80">
        <f>E457+E465</f>
        <v>4710</v>
      </c>
      <c r="F466" s="80">
        <f>F457+F465</f>
        <v>4619.6666666666661</v>
      </c>
      <c r="G466" s="68">
        <f>SUM(G457+G465)</f>
        <v>433872</v>
      </c>
      <c r="H466" s="80">
        <f>H457+H465</f>
        <v>4858.9150000000009</v>
      </c>
      <c r="I466" s="80">
        <f>I457+I465</f>
        <v>4844.5599999999995</v>
      </c>
      <c r="J466" s="80">
        <f>J457+J465</f>
        <v>4740.5290000000005</v>
      </c>
      <c r="K466" s="120">
        <f t="shared" si="288"/>
        <v>4814.6680000000006</v>
      </c>
      <c r="L466" s="68">
        <f>SUM(L457+L465)</f>
        <v>442949.45600000001</v>
      </c>
      <c r="M466" s="94">
        <f>M457+M465</f>
        <v>4788</v>
      </c>
      <c r="N466" s="80">
        <f>N457+N465</f>
        <v>4830.28</v>
      </c>
      <c r="O466" s="80">
        <f>O457+O465</f>
        <v>4850.674</v>
      </c>
      <c r="P466" s="99">
        <f t="shared" si="290"/>
        <v>4822.9846666666663</v>
      </c>
      <c r="Q466" s="68">
        <f>SUM(Q457+Q465)</f>
        <v>438891.60466666665</v>
      </c>
      <c r="R466" s="94">
        <f>R457+R465</f>
        <v>4807.34</v>
      </c>
      <c r="S466" s="80">
        <f>S457+S465</f>
        <v>4730.607</v>
      </c>
      <c r="T466" s="81">
        <f>T457+T465</f>
        <v>4634.7669999999998</v>
      </c>
      <c r="U466" s="99">
        <f t="shared" si="292"/>
        <v>4724.2380000000003</v>
      </c>
      <c r="V466" s="68">
        <f>SUM(V457+V465)</f>
        <v>429905.658</v>
      </c>
      <c r="W466" s="80">
        <f>W457+W465</f>
        <v>1587.3333333333337</v>
      </c>
      <c r="X466" s="82">
        <f>X457+X465</f>
        <v>1692251.4118333333</v>
      </c>
    </row>
    <row r="467" spans="1:24" ht="15.75" x14ac:dyDescent="0.25">
      <c r="A467" s="114"/>
      <c r="B467" s="19"/>
      <c r="C467" s="115"/>
      <c r="D467" s="115"/>
      <c r="E467" s="115"/>
      <c r="F467" s="113"/>
      <c r="G467" s="93"/>
      <c r="H467" s="115"/>
      <c r="I467" s="115"/>
      <c r="J467" s="115"/>
      <c r="K467" s="113"/>
      <c r="L467" s="93"/>
      <c r="M467" s="115"/>
      <c r="N467" s="115"/>
      <c r="O467" s="115"/>
      <c r="P467" s="113"/>
      <c r="Q467" s="93"/>
      <c r="R467" s="115"/>
      <c r="S467" s="115"/>
      <c r="T467" s="115"/>
      <c r="U467" s="113"/>
      <c r="V467" s="93"/>
      <c r="W467" s="115"/>
      <c r="X467" s="115"/>
    </row>
    <row r="468" spans="1:24" ht="14.25" x14ac:dyDescent="0.2">
      <c r="A468" s="13"/>
      <c r="C468" s="13"/>
      <c r="D468" s="13"/>
      <c r="E468" s="13"/>
      <c r="F468" s="13"/>
      <c r="G468" s="13"/>
      <c r="H468" s="13"/>
      <c r="I468" s="13"/>
      <c r="J468" s="13"/>
      <c r="K468" s="13"/>
      <c r="L468" s="13"/>
      <c r="M468" s="13"/>
      <c r="N468" s="13"/>
      <c r="O468" s="13"/>
      <c r="P468" s="13"/>
      <c r="Q468" s="13"/>
      <c r="R468" s="13"/>
      <c r="S468" s="13"/>
      <c r="T468" s="13"/>
      <c r="U468" s="13"/>
      <c r="V468" s="13"/>
      <c r="W468" s="13"/>
      <c r="X468" s="13"/>
    </row>
    <row r="469" spans="1:24" ht="14.25" x14ac:dyDescent="0.2">
      <c r="A469" s="13"/>
      <c r="C469" s="13"/>
      <c r="D469" s="13"/>
      <c r="E469" s="13"/>
      <c r="F469" s="13"/>
      <c r="G469" s="13"/>
      <c r="H469" s="13"/>
      <c r="I469" s="13"/>
      <c r="J469" s="13"/>
      <c r="K469" s="13"/>
      <c r="L469" s="13"/>
      <c r="M469" s="13"/>
      <c r="N469" s="13"/>
      <c r="O469" s="13"/>
      <c r="P469" s="13"/>
      <c r="Q469" s="13"/>
      <c r="R469" s="13"/>
      <c r="S469" s="13"/>
      <c r="T469" s="13"/>
      <c r="U469" s="13"/>
      <c r="V469" s="13"/>
      <c r="W469" s="13"/>
      <c r="X469" s="13"/>
    </row>
    <row r="470" spans="1:24" ht="16.5" thickBot="1" x14ac:dyDescent="0.25">
      <c r="A470" s="45" t="s">
        <v>144</v>
      </c>
      <c r="B470" s="10"/>
      <c r="C470" s="13"/>
      <c r="D470" s="13"/>
      <c r="E470" s="13"/>
      <c r="F470" s="13"/>
      <c r="G470" s="13"/>
      <c r="H470" s="13"/>
      <c r="I470" s="13"/>
      <c r="J470" s="13"/>
      <c r="K470" s="13"/>
      <c r="L470" s="13"/>
      <c r="M470" s="13"/>
      <c r="N470" s="13"/>
      <c r="O470" s="13"/>
      <c r="P470" s="13"/>
      <c r="Q470" s="13"/>
      <c r="R470" s="13"/>
      <c r="S470" s="13"/>
      <c r="T470" s="13"/>
      <c r="U470" s="13"/>
      <c r="V470" s="13"/>
      <c r="W470" s="13"/>
      <c r="X470" s="13"/>
    </row>
    <row r="471" spans="1:24" ht="15.75" thickBot="1" x14ac:dyDescent="0.3">
      <c r="A471" s="55" t="s">
        <v>244</v>
      </c>
      <c r="B471" s="1055" t="s">
        <v>142</v>
      </c>
      <c r="C471" s="1060"/>
      <c r="D471" s="1060"/>
      <c r="E471" s="1060"/>
      <c r="F471" s="1060"/>
      <c r="G471" s="1060"/>
      <c r="H471" s="1060"/>
      <c r="I471" s="1060"/>
      <c r="J471" s="1060"/>
      <c r="K471" s="1060"/>
      <c r="L471" s="1060"/>
      <c r="M471" s="1060"/>
      <c r="N471" s="1060"/>
      <c r="O471" s="1060"/>
      <c r="P471" s="1060"/>
      <c r="Q471" s="1060"/>
      <c r="R471" s="1060"/>
      <c r="S471" s="1060"/>
      <c r="T471" s="1060"/>
      <c r="U471" s="1060"/>
      <c r="V471" s="39"/>
      <c r="W471" s="92"/>
      <c r="X471" s="13"/>
    </row>
    <row r="472" spans="1:24" ht="15" x14ac:dyDescent="0.25">
      <c r="A472" s="56"/>
      <c r="B472" s="40" t="s">
        <v>245</v>
      </c>
      <c r="C472" s="57"/>
      <c r="D472" s="58"/>
      <c r="E472" s="58"/>
      <c r="F472" s="1047" t="s">
        <v>242</v>
      </c>
      <c r="G472" s="1039" t="s">
        <v>262</v>
      </c>
      <c r="H472" s="58"/>
      <c r="I472" s="58"/>
      <c r="J472" s="58"/>
      <c r="K472" s="1047" t="s">
        <v>242</v>
      </c>
      <c r="L472" s="1039" t="s">
        <v>262</v>
      </c>
      <c r="M472" s="58"/>
      <c r="N472" s="58"/>
      <c r="O472" s="58"/>
      <c r="P472" s="1047" t="s">
        <v>242</v>
      </c>
      <c r="Q472" s="1039" t="s">
        <v>262</v>
      </c>
      <c r="R472" s="58"/>
      <c r="S472" s="58"/>
      <c r="T472" s="59"/>
      <c r="U472" s="1047" t="s">
        <v>242</v>
      </c>
      <c r="V472" s="1039" t="s">
        <v>262</v>
      </c>
      <c r="W472" s="1041" t="s">
        <v>143</v>
      </c>
      <c r="X472" s="1043" t="s">
        <v>144</v>
      </c>
    </row>
    <row r="473" spans="1:24" ht="15.75" thickBot="1" x14ac:dyDescent="0.3">
      <c r="A473" s="47" t="s">
        <v>55</v>
      </c>
      <c r="B473" s="41" t="s">
        <v>246</v>
      </c>
      <c r="C473" s="60">
        <v>37438</v>
      </c>
      <c r="D473" s="61">
        <v>37469</v>
      </c>
      <c r="E473" s="61">
        <v>37500</v>
      </c>
      <c r="F473" s="1048"/>
      <c r="G473" s="1040"/>
      <c r="H473" s="61">
        <v>37530</v>
      </c>
      <c r="I473" s="61">
        <v>37561</v>
      </c>
      <c r="J473" s="61">
        <v>37591</v>
      </c>
      <c r="K473" s="1048"/>
      <c r="L473" s="1040"/>
      <c r="M473" s="61">
        <v>37624</v>
      </c>
      <c r="N473" s="61">
        <v>37655</v>
      </c>
      <c r="O473" s="61">
        <v>37683</v>
      </c>
      <c r="P473" s="1048"/>
      <c r="Q473" s="1040"/>
      <c r="R473" s="61">
        <v>37714</v>
      </c>
      <c r="S473" s="61">
        <v>37744</v>
      </c>
      <c r="T473" s="62">
        <v>37775</v>
      </c>
      <c r="U473" s="1048"/>
      <c r="V473" s="1040"/>
      <c r="W473" s="1042"/>
      <c r="X473" s="1044"/>
    </row>
    <row r="474" spans="1:24" ht="15" x14ac:dyDescent="0.25">
      <c r="A474" s="48" t="s">
        <v>228</v>
      </c>
      <c r="B474" s="42" t="s">
        <v>247</v>
      </c>
      <c r="C474" s="85">
        <v>380</v>
      </c>
      <c r="D474" s="85">
        <v>383.6</v>
      </c>
      <c r="E474" s="85">
        <v>375.3</v>
      </c>
      <c r="F474" s="63">
        <f t="shared" ref="F474:F487" si="295">SUM(C474:E474)/3</f>
        <v>379.63333333333338</v>
      </c>
      <c r="G474" s="108">
        <f>SUM(380*92)</f>
        <v>34960</v>
      </c>
      <c r="H474" s="85">
        <v>384.1</v>
      </c>
      <c r="I474" s="85">
        <v>405.93299999999999</v>
      </c>
      <c r="J474" s="85">
        <v>397.4</v>
      </c>
      <c r="K474" s="63">
        <f t="shared" ref="K474:K487" si="296">SUM(H474:J474)/3</f>
        <v>395.81099999999998</v>
      </c>
      <c r="L474" s="108">
        <f>SUM(396*92)</f>
        <v>36432</v>
      </c>
      <c r="M474" s="85">
        <v>392.4</v>
      </c>
      <c r="N474" s="85">
        <v>416.1</v>
      </c>
      <c r="O474" s="85">
        <v>401.65</v>
      </c>
      <c r="P474" s="63">
        <f t="shared" ref="P474:P487" si="297">SUM(M474:O474)/3</f>
        <v>403.38333333333338</v>
      </c>
      <c r="Q474" s="108">
        <f>SUM(403*90)</f>
        <v>36270</v>
      </c>
      <c r="R474" s="85">
        <v>400</v>
      </c>
      <c r="S474" s="85">
        <v>414.03</v>
      </c>
      <c r="T474" s="88">
        <v>404.8</v>
      </c>
      <c r="U474" s="63">
        <f t="shared" ref="U474:U487" si="298">SUM(R474:T474)/3</f>
        <v>406.27666666666664</v>
      </c>
      <c r="V474" s="111">
        <f>SUM(406*91)</f>
        <v>36946</v>
      </c>
      <c r="W474" s="64">
        <f t="shared" ref="W474:W487" si="299">SUM(C474+D474+E474+H474+I474+J474+M474+N474+O474+R474+S474+T474)/12</f>
        <v>396.27608333333336</v>
      </c>
      <c r="X474" s="65">
        <f>396*365</f>
        <v>144540</v>
      </c>
    </row>
    <row r="475" spans="1:24" ht="15" x14ac:dyDescent="0.25">
      <c r="A475" s="49" t="s">
        <v>127</v>
      </c>
      <c r="B475" s="43" t="s">
        <v>248</v>
      </c>
      <c r="C475" s="86">
        <v>99.129000000000005</v>
      </c>
      <c r="D475" s="86">
        <v>102.42</v>
      </c>
      <c r="E475" s="86">
        <v>97.667000000000002</v>
      </c>
      <c r="F475" s="63">
        <f t="shared" si="295"/>
        <v>99.738666666666674</v>
      </c>
      <c r="G475" s="109">
        <f>SUM(100*92)</f>
        <v>9200</v>
      </c>
      <c r="H475" s="100">
        <v>95</v>
      </c>
      <c r="I475" s="86">
        <v>100.43300000000001</v>
      </c>
      <c r="J475" s="86">
        <v>94.13</v>
      </c>
      <c r="K475" s="63">
        <f t="shared" si="296"/>
        <v>96.521000000000001</v>
      </c>
      <c r="L475" s="109">
        <f>SUM(97*92)</f>
        <v>8924</v>
      </c>
      <c r="M475" s="100">
        <v>102.65</v>
      </c>
      <c r="N475" s="86">
        <v>107.21</v>
      </c>
      <c r="O475" s="86">
        <v>114.13</v>
      </c>
      <c r="P475" s="63">
        <f t="shared" si="297"/>
        <v>107.99666666666667</v>
      </c>
      <c r="Q475" s="109">
        <f>SUM(108*90)</f>
        <v>9720</v>
      </c>
      <c r="R475" s="100">
        <v>111.9</v>
      </c>
      <c r="S475" s="86">
        <v>114.42</v>
      </c>
      <c r="T475" s="89">
        <v>115.67</v>
      </c>
      <c r="U475" s="63">
        <f t="shared" si="298"/>
        <v>113.99666666666667</v>
      </c>
      <c r="V475" s="111">
        <f>SUM(114*91)</f>
        <v>10374</v>
      </c>
      <c r="W475" s="64">
        <f t="shared" si="299"/>
        <v>104.56325000000002</v>
      </c>
      <c r="X475" s="65">
        <f>105*365</f>
        <v>38325</v>
      </c>
    </row>
    <row r="476" spans="1:24" ht="15" x14ac:dyDescent="0.25">
      <c r="A476" s="50" t="s">
        <v>128</v>
      </c>
      <c r="B476" s="44" t="s">
        <v>249</v>
      </c>
      <c r="C476" s="87">
        <v>365.7</v>
      </c>
      <c r="D476" s="87">
        <v>363.1</v>
      </c>
      <c r="E476" s="87">
        <v>373.4</v>
      </c>
      <c r="F476" s="63">
        <f t="shared" si="295"/>
        <v>367.39999999999992</v>
      </c>
      <c r="G476" s="109">
        <f>SUM(367*92)</f>
        <v>33764</v>
      </c>
      <c r="H476" s="101">
        <v>381.6</v>
      </c>
      <c r="I476" s="87">
        <v>392.4</v>
      </c>
      <c r="J476" s="87">
        <v>379.3</v>
      </c>
      <c r="K476" s="63">
        <f t="shared" si="296"/>
        <v>384.43333333333334</v>
      </c>
      <c r="L476" s="109">
        <f>SUM(384*92)</f>
        <v>35328</v>
      </c>
      <c r="M476" s="101">
        <v>383.3</v>
      </c>
      <c r="N476" s="87">
        <v>395.61</v>
      </c>
      <c r="O476" s="87">
        <v>385.32</v>
      </c>
      <c r="P476" s="63">
        <f t="shared" si="297"/>
        <v>388.07666666666665</v>
      </c>
      <c r="Q476" s="109">
        <f>SUM(388*90)</f>
        <v>34920</v>
      </c>
      <c r="R476" s="101">
        <v>396</v>
      </c>
      <c r="S476" s="87">
        <v>393.4</v>
      </c>
      <c r="T476" s="90">
        <v>389.2</v>
      </c>
      <c r="U476" s="63">
        <f t="shared" si="298"/>
        <v>392.86666666666662</v>
      </c>
      <c r="V476" s="111">
        <f>SUM(393*91)</f>
        <v>35763</v>
      </c>
      <c r="W476" s="64">
        <f t="shared" si="299"/>
        <v>383.19416666666666</v>
      </c>
      <c r="X476" s="66">
        <f>383*365</f>
        <v>139795</v>
      </c>
    </row>
    <row r="477" spans="1:24" ht="15" x14ac:dyDescent="0.25">
      <c r="A477" s="50" t="s">
        <v>24</v>
      </c>
      <c r="B477" s="44" t="s">
        <v>250</v>
      </c>
      <c r="C477" s="87">
        <v>196.2</v>
      </c>
      <c r="D477" s="87">
        <v>199</v>
      </c>
      <c r="E477" s="87">
        <v>201.2</v>
      </c>
      <c r="F477" s="63">
        <f t="shared" si="295"/>
        <v>198.79999999999998</v>
      </c>
      <c r="G477" s="109">
        <f>SUM(199*92)</f>
        <v>18308</v>
      </c>
      <c r="H477" s="101">
        <v>205.9</v>
      </c>
      <c r="I477" s="87">
        <v>203.233</v>
      </c>
      <c r="J477" s="87">
        <v>196.52</v>
      </c>
      <c r="K477" s="63">
        <f t="shared" si="296"/>
        <v>201.88433333333333</v>
      </c>
      <c r="L477" s="109">
        <f>SUM(202*92)</f>
        <v>18584</v>
      </c>
      <c r="M477" s="101">
        <v>206.5</v>
      </c>
      <c r="N477" s="87">
        <v>221</v>
      </c>
      <c r="O477" s="87">
        <v>222.16</v>
      </c>
      <c r="P477" s="63">
        <f t="shared" si="297"/>
        <v>216.55333333333331</v>
      </c>
      <c r="Q477" s="109">
        <f>SUM(217*90)</f>
        <v>19530</v>
      </c>
      <c r="R477" s="101">
        <v>222.3</v>
      </c>
      <c r="S477" s="87">
        <v>223.8</v>
      </c>
      <c r="T477" s="90">
        <v>221</v>
      </c>
      <c r="U477" s="63">
        <f t="shared" si="298"/>
        <v>222.36666666666667</v>
      </c>
      <c r="V477" s="111">
        <f>SUM(222*91)</f>
        <v>20202</v>
      </c>
      <c r="W477" s="64">
        <f t="shared" si="299"/>
        <v>209.90108333333333</v>
      </c>
      <c r="X477" s="66">
        <f>210*365</f>
        <v>76650</v>
      </c>
    </row>
    <row r="478" spans="1:24" ht="15" x14ac:dyDescent="0.25">
      <c r="A478" s="51" t="s">
        <v>259</v>
      </c>
      <c r="B478" s="44" t="s">
        <v>251</v>
      </c>
      <c r="C478" s="87">
        <v>266.91000000000003</v>
      </c>
      <c r="D478" s="87">
        <v>275.11</v>
      </c>
      <c r="E478" s="87">
        <v>278.87</v>
      </c>
      <c r="F478" s="63">
        <f t="shared" si="295"/>
        <v>273.63</v>
      </c>
      <c r="G478" s="109">
        <f>SUM(274*92)</f>
        <v>25208</v>
      </c>
      <c r="H478" s="101">
        <v>282.37</v>
      </c>
      <c r="I478" s="87">
        <v>290.96600000000001</v>
      </c>
      <c r="J478" s="87">
        <v>282.60000000000002</v>
      </c>
      <c r="K478" s="63">
        <f t="shared" si="296"/>
        <v>285.31200000000001</v>
      </c>
      <c r="L478" s="109">
        <f>SUM(285*92)</f>
        <v>26220</v>
      </c>
      <c r="M478" s="101">
        <v>280.61</v>
      </c>
      <c r="N478" s="87">
        <v>289.14</v>
      </c>
      <c r="O478" s="87">
        <v>275.02999999999997</v>
      </c>
      <c r="P478" s="63">
        <f t="shared" si="297"/>
        <v>281.59333333333331</v>
      </c>
      <c r="Q478" s="109">
        <f>SUM(282*90)</f>
        <v>25380</v>
      </c>
      <c r="R478" s="101">
        <v>282</v>
      </c>
      <c r="S478" s="87">
        <v>294.23</v>
      </c>
      <c r="T478" s="90">
        <v>301.43</v>
      </c>
      <c r="U478" s="63">
        <f t="shared" si="298"/>
        <v>292.55333333333334</v>
      </c>
      <c r="V478" s="111">
        <f>SUM(293*91)</f>
        <v>26663</v>
      </c>
      <c r="W478" s="64">
        <f t="shared" si="299"/>
        <v>283.27216666666664</v>
      </c>
      <c r="X478" s="66">
        <f>283*365</f>
        <v>103295</v>
      </c>
    </row>
    <row r="479" spans="1:24" ht="15" x14ac:dyDescent="0.25">
      <c r="A479" s="50" t="s">
        <v>15</v>
      </c>
      <c r="B479" s="44" t="s">
        <v>252</v>
      </c>
      <c r="C479" s="87">
        <v>57.77</v>
      </c>
      <c r="D479" s="87">
        <v>61.16</v>
      </c>
      <c r="E479" s="87">
        <v>57.47</v>
      </c>
      <c r="F479" s="63">
        <f t="shared" si="295"/>
        <v>58.800000000000004</v>
      </c>
      <c r="G479" s="109">
        <f>SUM(59*92)</f>
        <v>5428</v>
      </c>
      <c r="H479" s="101">
        <v>54.77</v>
      </c>
      <c r="I479" s="87">
        <v>56.866999999999997</v>
      </c>
      <c r="J479" s="87">
        <v>56.1</v>
      </c>
      <c r="K479" s="63">
        <f t="shared" si="296"/>
        <v>55.912333333333329</v>
      </c>
      <c r="L479" s="109">
        <f>SUM(56*92)</f>
        <v>5152</v>
      </c>
      <c r="M479" s="101">
        <v>60.03</v>
      </c>
      <c r="N479" s="87">
        <v>62.96</v>
      </c>
      <c r="O479" s="87">
        <v>58.9</v>
      </c>
      <c r="P479" s="63">
        <f t="shared" si="297"/>
        <v>60.63</v>
      </c>
      <c r="Q479" s="109">
        <f>SUM(61*90)</f>
        <v>5490</v>
      </c>
      <c r="R479" s="101">
        <v>48.2</v>
      </c>
      <c r="S479" s="87">
        <v>46.2</v>
      </c>
      <c r="T479" s="90">
        <v>47.87</v>
      </c>
      <c r="U479" s="63">
        <f t="shared" si="298"/>
        <v>47.423333333333339</v>
      </c>
      <c r="V479" s="111">
        <f>SUM(47*91)</f>
        <v>4277</v>
      </c>
      <c r="W479" s="64">
        <f t="shared" si="299"/>
        <v>55.691416666666676</v>
      </c>
      <c r="X479" s="66">
        <f>56*365</f>
        <v>20440</v>
      </c>
    </row>
    <row r="480" spans="1:24" ht="15" x14ac:dyDescent="0.25">
      <c r="A480" s="50" t="s">
        <v>16</v>
      </c>
      <c r="B480" s="44" t="s">
        <v>253</v>
      </c>
      <c r="C480" s="87">
        <v>157.1</v>
      </c>
      <c r="D480" s="87">
        <v>170</v>
      </c>
      <c r="E480" s="87">
        <v>181</v>
      </c>
      <c r="F480" s="63">
        <f t="shared" si="295"/>
        <v>169.36666666666667</v>
      </c>
      <c r="G480" s="109">
        <f>SUM(169*92)</f>
        <v>15548</v>
      </c>
      <c r="H480" s="101">
        <v>166.3</v>
      </c>
      <c r="I480" s="87">
        <v>165.63300000000001</v>
      </c>
      <c r="J480" s="87">
        <v>156.30000000000001</v>
      </c>
      <c r="K480" s="63">
        <f t="shared" si="296"/>
        <v>162.74433333333334</v>
      </c>
      <c r="L480" s="109">
        <f>SUM(163*92)</f>
        <v>14996</v>
      </c>
      <c r="M480" s="101">
        <v>170.8</v>
      </c>
      <c r="N480" s="87">
        <v>166.82</v>
      </c>
      <c r="O480" s="87">
        <v>161.35</v>
      </c>
      <c r="P480" s="63">
        <f t="shared" si="297"/>
        <v>166.32333333333335</v>
      </c>
      <c r="Q480" s="109">
        <f>SUM(166*90)</f>
        <v>14940</v>
      </c>
      <c r="R480" s="101">
        <v>161</v>
      </c>
      <c r="S480" s="87">
        <v>161.4</v>
      </c>
      <c r="T480" s="90">
        <v>175.1</v>
      </c>
      <c r="U480" s="63">
        <f t="shared" si="298"/>
        <v>165.83333333333334</v>
      </c>
      <c r="V480" s="111">
        <f>SUM(166*91)</f>
        <v>15106</v>
      </c>
      <c r="W480" s="64">
        <f t="shared" si="299"/>
        <v>166.06691666666666</v>
      </c>
      <c r="X480" s="66">
        <f>166*365</f>
        <v>60590</v>
      </c>
    </row>
    <row r="481" spans="1:24" ht="15" x14ac:dyDescent="0.25">
      <c r="A481" s="50" t="s">
        <v>129</v>
      </c>
      <c r="B481" s="44" t="s">
        <v>254</v>
      </c>
      <c r="C481" s="87">
        <v>77.16</v>
      </c>
      <c r="D481" s="87">
        <v>78.900000000000006</v>
      </c>
      <c r="E481" s="87">
        <v>78.47</v>
      </c>
      <c r="F481" s="63">
        <f t="shared" si="295"/>
        <v>78.176666666666662</v>
      </c>
      <c r="G481" s="109">
        <f>SUM(78*92)</f>
        <v>7176</v>
      </c>
      <c r="H481" s="101">
        <v>80.94</v>
      </c>
      <c r="I481" s="87">
        <v>84.266999999999996</v>
      </c>
      <c r="J481" s="87">
        <v>82.7</v>
      </c>
      <c r="K481" s="63">
        <v>82</v>
      </c>
      <c r="L481" s="109">
        <f>SUM(82*92)</f>
        <v>7544</v>
      </c>
      <c r="M481" s="101">
        <v>82.35</v>
      </c>
      <c r="N481" s="87">
        <v>87</v>
      </c>
      <c r="O481" s="87">
        <v>79.39</v>
      </c>
      <c r="P481" s="63">
        <f t="shared" si="297"/>
        <v>82.913333333333341</v>
      </c>
      <c r="Q481" s="109">
        <f>SUM(83*90)</f>
        <v>7470</v>
      </c>
      <c r="R481" s="101">
        <v>82.9</v>
      </c>
      <c r="S481" s="87">
        <v>80.290000000000006</v>
      </c>
      <c r="T481" s="90">
        <v>77.930000000000007</v>
      </c>
      <c r="U481" s="63">
        <f t="shared" si="298"/>
        <v>80.373333333333335</v>
      </c>
      <c r="V481" s="111">
        <f>SUM(80*91)</f>
        <v>7280</v>
      </c>
      <c r="W481" s="64">
        <f t="shared" si="299"/>
        <v>81.024749999999997</v>
      </c>
      <c r="X481" s="66">
        <f>81*365</f>
        <v>29565</v>
      </c>
    </row>
    <row r="482" spans="1:24" ht="15" x14ac:dyDescent="0.25">
      <c r="A482" s="51" t="s">
        <v>260</v>
      </c>
      <c r="B482" s="44" t="s">
        <v>255</v>
      </c>
      <c r="C482" s="87">
        <v>386</v>
      </c>
      <c r="D482" s="87">
        <v>384.2</v>
      </c>
      <c r="E482" s="87">
        <v>378.4</v>
      </c>
      <c r="F482" s="63">
        <f t="shared" si="295"/>
        <v>382.86666666666662</v>
      </c>
      <c r="G482" s="109">
        <f>SUM(383*92)</f>
        <v>35236</v>
      </c>
      <c r="H482" s="101">
        <v>376.9</v>
      </c>
      <c r="I482" s="87">
        <v>390.8</v>
      </c>
      <c r="J482" s="87">
        <v>374.1</v>
      </c>
      <c r="K482" s="63">
        <f t="shared" si="296"/>
        <v>380.60000000000008</v>
      </c>
      <c r="L482" s="109">
        <f>SUM(381*92)</f>
        <v>35052</v>
      </c>
      <c r="M482" s="101">
        <v>377.9</v>
      </c>
      <c r="N482" s="87">
        <v>391.6</v>
      </c>
      <c r="O482" s="87">
        <v>389.26</v>
      </c>
      <c r="P482" s="63">
        <f t="shared" si="297"/>
        <v>386.25333333333333</v>
      </c>
      <c r="Q482" s="109">
        <f>SUM(386*90)</f>
        <v>34740</v>
      </c>
      <c r="R482" s="101">
        <v>392.3</v>
      </c>
      <c r="S482" s="87">
        <v>383.87</v>
      </c>
      <c r="T482" s="90">
        <v>383.1</v>
      </c>
      <c r="U482" s="63">
        <f t="shared" si="298"/>
        <v>386.42333333333335</v>
      </c>
      <c r="V482" s="111">
        <f>SUM(386*91)</f>
        <v>35126</v>
      </c>
      <c r="W482" s="64">
        <f t="shared" si="299"/>
        <v>384.03583333333336</v>
      </c>
      <c r="X482" s="66">
        <f>384*365</f>
        <v>140160</v>
      </c>
    </row>
    <row r="483" spans="1:24" ht="15" x14ac:dyDescent="0.25">
      <c r="A483" s="50" t="s">
        <v>19</v>
      </c>
      <c r="B483" s="44" t="s">
        <v>256</v>
      </c>
      <c r="C483" s="87">
        <v>481.5</v>
      </c>
      <c r="D483" s="87">
        <v>479.9</v>
      </c>
      <c r="E483" s="87">
        <v>474.7</v>
      </c>
      <c r="F483" s="63">
        <f t="shared" si="295"/>
        <v>478.7</v>
      </c>
      <c r="G483" s="109">
        <f>SUM(479*92)</f>
        <v>44068</v>
      </c>
      <c r="H483" s="101">
        <v>483</v>
      </c>
      <c r="I483" s="87">
        <v>461.9</v>
      </c>
      <c r="J483" s="87">
        <v>463.74200000000002</v>
      </c>
      <c r="K483" s="63">
        <v>469</v>
      </c>
      <c r="L483" s="109">
        <f>SUM(469*92)</f>
        <v>43148</v>
      </c>
      <c r="M483" s="101">
        <v>473.4</v>
      </c>
      <c r="N483" s="87">
        <v>472.3</v>
      </c>
      <c r="O483" s="87">
        <v>484.74</v>
      </c>
      <c r="P483" s="63">
        <f t="shared" si="297"/>
        <v>476.81333333333333</v>
      </c>
      <c r="Q483" s="109">
        <f>SUM(477*90)</f>
        <v>42930</v>
      </c>
      <c r="R483" s="101">
        <v>484.4</v>
      </c>
      <c r="S483" s="87">
        <v>483.03</v>
      </c>
      <c r="T483" s="90">
        <v>481</v>
      </c>
      <c r="U483" s="63">
        <f t="shared" si="298"/>
        <v>482.80999999999995</v>
      </c>
      <c r="V483" s="111">
        <f>SUM(483*91)</f>
        <v>43953</v>
      </c>
      <c r="W483" s="64">
        <f t="shared" si="299"/>
        <v>476.96766666666667</v>
      </c>
      <c r="X483" s="66">
        <f>477*365</f>
        <v>174105</v>
      </c>
    </row>
    <row r="484" spans="1:24" ht="15" x14ac:dyDescent="0.25">
      <c r="A484" s="51" t="s">
        <v>261</v>
      </c>
      <c r="B484" s="44" t="s">
        <v>257</v>
      </c>
      <c r="C484" s="87">
        <v>347.19</v>
      </c>
      <c r="D484" s="87">
        <v>342.11</v>
      </c>
      <c r="E484" s="87">
        <v>351</v>
      </c>
      <c r="F484" s="63">
        <f t="shared" si="295"/>
        <v>346.76666666666665</v>
      </c>
      <c r="G484" s="109">
        <f>SUM(347*92)</f>
        <v>31924</v>
      </c>
      <c r="H484" s="101">
        <v>357</v>
      </c>
      <c r="I484" s="87">
        <v>353.9</v>
      </c>
      <c r="J484" s="87">
        <v>334.61200000000002</v>
      </c>
      <c r="K484" s="63">
        <f t="shared" si="296"/>
        <v>348.50399999999996</v>
      </c>
      <c r="L484" s="109">
        <f>SUM(349*92)</f>
        <v>32108</v>
      </c>
      <c r="M484" s="101">
        <v>349.3</v>
      </c>
      <c r="N484" s="87">
        <v>360.6</v>
      </c>
      <c r="O484" s="87">
        <v>364.49</v>
      </c>
      <c r="P484" s="63">
        <f t="shared" si="297"/>
        <v>358.13000000000005</v>
      </c>
      <c r="Q484" s="109">
        <f>SUM(358*90)</f>
        <v>32220</v>
      </c>
      <c r="R484" s="101">
        <v>355.4</v>
      </c>
      <c r="S484" s="87">
        <v>344.55</v>
      </c>
      <c r="T484" s="90">
        <v>356.1</v>
      </c>
      <c r="U484" s="63">
        <f t="shared" si="298"/>
        <v>352.01666666666671</v>
      </c>
      <c r="V484" s="111">
        <f>SUM(352*91)</f>
        <v>32032</v>
      </c>
      <c r="W484" s="64">
        <f t="shared" si="299"/>
        <v>351.35433333333339</v>
      </c>
      <c r="X484" s="66">
        <f>351*365</f>
        <v>128115</v>
      </c>
    </row>
    <row r="485" spans="1:24" ht="15" x14ac:dyDescent="0.25">
      <c r="A485" s="50" t="s">
        <v>130</v>
      </c>
      <c r="B485" s="44" t="s">
        <v>258</v>
      </c>
      <c r="C485" s="87">
        <v>104.2</v>
      </c>
      <c r="D485" s="87">
        <v>102.51600000000001</v>
      </c>
      <c r="E485" s="87">
        <v>104.3</v>
      </c>
      <c r="F485" s="63">
        <f t="shared" si="295"/>
        <v>103.67200000000001</v>
      </c>
      <c r="G485" s="109">
        <f>SUM(104*92)</f>
        <v>9568</v>
      </c>
      <c r="H485" s="101">
        <v>103.3</v>
      </c>
      <c r="I485" s="87">
        <v>105.667</v>
      </c>
      <c r="J485" s="87">
        <v>112.52</v>
      </c>
      <c r="K485" s="63">
        <f t="shared" si="296"/>
        <v>107.16233333333332</v>
      </c>
      <c r="L485" s="109">
        <f>SUM(107*92)</f>
        <v>9844</v>
      </c>
      <c r="M485" s="101">
        <v>107.9</v>
      </c>
      <c r="N485" s="87">
        <v>115</v>
      </c>
      <c r="O485" s="87">
        <v>114.84</v>
      </c>
      <c r="P485" s="63">
        <f t="shared" si="297"/>
        <v>112.58</v>
      </c>
      <c r="Q485" s="109">
        <f>SUM(113*90)</f>
        <v>10170</v>
      </c>
      <c r="R485" s="101">
        <v>109.533</v>
      </c>
      <c r="S485" s="87">
        <v>112.16</v>
      </c>
      <c r="T485" s="90">
        <v>107.1</v>
      </c>
      <c r="U485" s="63">
        <f t="shared" si="298"/>
        <v>109.59766666666667</v>
      </c>
      <c r="V485" s="111">
        <f>SUM(110*91)</f>
        <v>10010</v>
      </c>
      <c r="W485" s="64">
        <f t="shared" si="299"/>
        <v>108.253</v>
      </c>
      <c r="X485" s="66">
        <f>108*365</f>
        <v>39420</v>
      </c>
    </row>
    <row r="486" spans="1:24" ht="16.5" thickBot="1" x14ac:dyDescent="0.3">
      <c r="A486" s="50" t="s">
        <v>131</v>
      </c>
      <c r="B486" s="34"/>
      <c r="C486" s="87">
        <v>26</v>
      </c>
      <c r="D486" s="87">
        <v>24</v>
      </c>
      <c r="E486" s="87">
        <v>0</v>
      </c>
      <c r="F486" s="67">
        <f t="shared" si="295"/>
        <v>16.666666666666668</v>
      </c>
      <c r="G486" s="110">
        <f>SUM(17*92)</f>
        <v>1564</v>
      </c>
      <c r="H486" s="101">
        <v>0</v>
      </c>
      <c r="I486" s="87">
        <v>0</v>
      </c>
      <c r="J486" s="87">
        <v>0</v>
      </c>
      <c r="K486" s="67">
        <f t="shared" si="296"/>
        <v>0</v>
      </c>
      <c r="L486" s="110">
        <f>SUM(0*92)</f>
        <v>0</v>
      </c>
      <c r="M486" s="101">
        <v>0</v>
      </c>
      <c r="N486" s="87">
        <v>0</v>
      </c>
      <c r="O486" s="87">
        <v>0</v>
      </c>
      <c r="P486" s="67">
        <f t="shared" si="297"/>
        <v>0</v>
      </c>
      <c r="Q486" s="110">
        <f>SUM(0*90)</f>
        <v>0</v>
      </c>
      <c r="R486" s="101">
        <v>0</v>
      </c>
      <c r="S486" s="87">
        <v>0</v>
      </c>
      <c r="T486" s="90">
        <v>0</v>
      </c>
      <c r="U486" s="67">
        <f t="shared" si="298"/>
        <v>0</v>
      </c>
      <c r="V486" s="112">
        <f>SUM(0*91)</f>
        <v>0</v>
      </c>
      <c r="W486" s="64">
        <f t="shared" si="299"/>
        <v>4.166666666666667</v>
      </c>
      <c r="X486" s="66">
        <f>4*365</f>
        <v>1460</v>
      </c>
    </row>
    <row r="487" spans="1:24" ht="16.5" thickBot="1" x14ac:dyDescent="0.3">
      <c r="A487" s="46" t="s">
        <v>139</v>
      </c>
      <c r="B487" s="35"/>
      <c r="C487" s="80">
        <v>2944</v>
      </c>
      <c r="D487" s="80">
        <v>2965</v>
      </c>
      <c r="E487" s="80">
        <v>2951</v>
      </c>
      <c r="F487" s="68">
        <f t="shared" si="295"/>
        <v>2953.3333333333335</v>
      </c>
      <c r="G487" s="95">
        <f>SUM(2953*92)</f>
        <v>271676</v>
      </c>
      <c r="H487" s="94">
        <v>2971</v>
      </c>
      <c r="I487" s="80">
        <v>3012</v>
      </c>
      <c r="J487" s="80">
        <v>2931</v>
      </c>
      <c r="K487" s="68">
        <f t="shared" si="296"/>
        <v>2971.3333333333335</v>
      </c>
      <c r="L487" s="95">
        <f>SUM(2971*92)</f>
        <v>273332</v>
      </c>
      <c r="M487" s="94">
        <v>2987</v>
      </c>
      <c r="N487" s="80">
        <v>3086</v>
      </c>
      <c r="O487" s="80">
        <f>SUM(O474:O486)</f>
        <v>3051.26</v>
      </c>
      <c r="P487" s="68">
        <f t="shared" si="297"/>
        <v>3041.42</v>
      </c>
      <c r="Q487" s="95">
        <f>SUM(3041*90)</f>
        <v>273690</v>
      </c>
      <c r="R487" s="102">
        <v>3044</v>
      </c>
      <c r="S487" s="91">
        <f>SUM(S474:S486)</f>
        <v>3051.38</v>
      </c>
      <c r="T487" s="91">
        <f>SUM(T474:T486)</f>
        <v>3060.2999999999997</v>
      </c>
      <c r="U487" s="68">
        <f t="shared" si="298"/>
        <v>3051.8933333333334</v>
      </c>
      <c r="V487" s="99">
        <f>SUM(V474:V486)</f>
        <v>277732</v>
      </c>
      <c r="W487" s="69">
        <f t="shared" si="299"/>
        <v>3004.4950000000003</v>
      </c>
      <c r="X487" s="69">
        <f>SUM(X474:X486)</f>
        <v>1096460</v>
      </c>
    </row>
    <row r="488" spans="1:24" ht="16.5" thickBot="1" x14ac:dyDescent="0.3">
      <c r="A488" s="46" t="s">
        <v>140</v>
      </c>
      <c r="B488" s="35"/>
      <c r="C488" s="70"/>
      <c r="D488" s="70"/>
      <c r="E488" s="71"/>
      <c r="F488" s="83"/>
      <c r="G488" s="103"/>
      <c r="H488" s="72"/>
      <c r="I488" s="70" t="s">
        <v>236</v>
      </c>
      <c r="J488" s="71"/>
      <c r="K488" s="97"/>
      <c r="L488" s="104"/>
      <c r="M488" s="72"/>
      <c r="N488" s="70"/>
      <c r="O488" s="71"/>
      <c r="P488" s="84"/>
      <c r="Q488" s="97"/>
      <c r="R488" s="72"/>
      <c r="S488" s="70"/>
      <c r="T488" s="71"/>
      <c r="U488" s="97"/>
      <c r="V488" s="97"/>
      <c r="W488" s="106"/>
      <c r="X488" s="105" t="s">
        <v>0</v>
      </c>
    </row>
    <row r="489" spans="1:24" ht="15.75" x14ac:dyDescent="0.25">
      <c r="A489" s="49" t="s">
        <v>132</v>
      </c>
      <c r="B489" s="33"/>
      <c r="C489" s="73">
        <v>686</v>
      </c>
      <c r="D489" s="73">
        <v>686</v>
      </c>
      <c r="E489" s="73">
        <v>603</v>
      </c>
      <c r="F489" s="63">
        <v>659</v>
      </c>
      <c r="G489" s="108">
        <f>SUM(659*92)</f>
        <v>60628</v>
      </c>
      <c r="H489" s="73">
        <v>700</v>
      </c>
      <c r="I489" s="73">
        <v>705</v>
      </c>
      <c r="J489" s="73">
        <v>686</v>
      </c>
      <c r="K489" s="63">
        <f t="shared" ref="K489:K496" si="300">SUM(H489:J489)/3</f>
        <v>697</v>
      </c>
      <c r="L489" s="108">
        <f>SUM(697*92)</f>
        <v>64124</v>
      </c>
      <c r="M489" s="73">
        <v>709</v>
      </c>
      <c r="N489" s="73">
        <v>709</v>
      </c>
      <c r="O489" s="73">
        <v>704</v>
      </c>
      <c r="P489" s="63">
        <f t="shared" ref="P489:P497" si="301">SUM(M489:O489)/3</f>
        <v>707.33333333333337</v>
      </c>
      <c r="Q489" s="108">
        <f>SUM(707*90)</f>
        <v>63630</v>
      </c>
      <c r="R489" s="73">
        <v>688</v>
      </c>
      <c r="S489" s="73">
        <v>690</v>
      </c>
      <c r="T489" s="74">
        <v>688</v>
      </c>
      <c r="U489" s="63">
        <f t="shared" ref="U489:U497" si="302">SUM(R489:T489)/3</f>
        <v>688.66666666666663</v>
      </c>
      <c r="V489" s="111">
        <f>SUM(689*91)</f>
        <v>62699</v>
      </c>
      <c r="W489" s="64">
        <f t="shared" ref="W489:W495" si="303">SUM(C489+D489+E489+H489+I489+J489+M489+N489+O489+R489+S489+T489)/12</f>
        <v>687.83333333333337</v>
      </c>
      <c r="X489" s="65">
        <f>688*365</f>
        <v>251120</v>
      </c>
    </row>
    <row r="490" spans="1:24" ht="15.75" x14ac:dyDescent="0.25">
      <c r="A490" s="50" t="s">
        <v>133</v>
      </c>
      <c r="B490" s="34"/>
      <c r="C490" s="75">
        <v>37</v>
      </c>
      <c r="D490" s="75">
        <v>48</v>
      </c>
      <c r="E490" s="75">
        <v>57</v>
      </c>
      <c r="F490" s="63">
        <f t="shared" ref="F490:F497" si="304">SUM(C490:E490)/3</f>
        <v>47.333333333333336</v>
      </c>
      <c r="G490" s="109">
        <f>SUM(47*92)</f>
        <v>4324</v>
      </c>
      <c r="H490" s="75">
        <v>69</v>
      </c>
      <c r="I490" s="75">
        <v>74</v>
      </c>
      <c r="J490" s="75">
        <v>68</v>
      </c>
      <c r="K490" s="63">
        <f t="shared" si="300"/>
        <v>70.333333333333329</v>
      </c>
      <c r="L490" s="109">
        <f>SUM(70*92)</f>
        <v>6440</v>
      </c>
      <c r="M490" s="75">
        <v>69</v>
      </c>
      <c r="N490" s="75">
        <v>55</v>
      </c>
      <c r="O490" s="75">
        <v>46</v>
      </c>
      <c r="P490" s="63">
        <f t="shared" si="301"/>
        <v>56.666666666666664</v>
      </c>
      <c r="Q490" s="109">
        <f>SUM(57*90)</f>
        <v>5130</v>
      </c>
      <c r="R490" s="75">
        <v>32</v>
      </c>
      <c r="S490" s="75">
        <v>22</v>
      </c>
      <c r="T490" s="76">
        <v>24</v>
      </c>
      <c r="U490" s="63">
        <f t="shared" si="302"/>
        <v>26</v>
      </c>
      <c r="V490" s="111">
        <f>SUM(26*91)</f>
        <v>2366</v>
      </c>
      <c r="W490" s="64">
        <f t="shared" si="303"/>
        <v>50.083333333333336</v>
      </c>
      <c r="X490" s="66">
        <f>50*365</f>
        <v>18250</v>
      </c>
    </row>
    <row r="491" spans="1:24" ht="15.75" x14ac:dyDescent="0.25">
      <c r="A491" s="50" t="s">
        <v>135</v>
      </c>
      <c r="B491" s="34"/>
      <c r="C491" s="75">
        <v>27</v>
      </c>
      <c r="D491" s="75">
        <v>39</v>
      </c>
      <c r="E491" s="75">
        <v>31</v>
      </c>
      <c r="F491" s="63">
        <f t="shared" si="304"/>
        <v>32.333333333333336</v>
      </c>
      <c r="G491" s="109">
        <f>SUM(32*92)</f>
        <v>2944</v>
      </c>
      <c r="H491" s="75">
        <v>42</v>
      </c>
      <c r="I491" s="75">
        <v>35</v>
      </c>
      <c r="J491" s="75">
        <v>34</v>
      </c>
      <c r="K491" s="63">
        <f t="shared" si="300"/>
        <v>37</v>
      </c>
      <c r="L491" s="109">
        <f>SUM(37*92)</f>
        <v>3404</v>
      </c>
      <c r="M491" s="75">
        <v>36</v>
      </c>
      <c r="N491" s="75">
        <v>35</v>
      </c>
      <c r="O491" s="75">
        <v>34</v>
      </c>
      <c r="P491" s="63">
        <f t="shared" si="301"/>
        <v>35</v>
      </c>
      <c r="Q491" s="109">
        <f>SUM(35*90)</f>
        <v>3150</v>
      </c>
      <c r="R491" s="75">
        <v>34</v>
      </c>
      <c r="S491" s="75">
        <v>33</v>
      </c>
      <c r="T491" s="76">
        <v>33</v>
      </c>
      <c r="U491" s="63">
        <f t="shared" si="302"/>
        <v>33.333333333333336</v>
      </c>
      <c r="V491" s="111">
        <f>SUM(33*91)</f>
        <v>3003</v>
      </c>
      <c r="W491" s="64">
        <f t="shared" si="303"/>
        <v>34.416666666666664</v>
      </c>
      <c r="X491" s="66">
        <f>34*365</f>
        <v>12410</v>
      </c>
    </row>
    <row r="492" spans="1:24" ht="15.75" x14ac:dyDescent="0.25">
      <c r="A492" s="50" t="s">
        <v>134</v>
      </c>
      <c r="B492" s="34"/>
      <c r="C492" s="75">
        <v>104</v>
      </c>
      <c r="D492" s="75">
        <v>105</v>
      </c>
      <c r="E492" s="75">
        <v>110</v>
      </c>
      <c r="F492" s="63">
        <v>107</v>
      </c>
      <c r="G492" s="109">
        <f>SUM(107*92)</f>
        <v>9844</v>
      </c>
      <c r="H492" s="75">
        <v>129</v>
      </c>
      <c r="I492" s="75">
        <v>141</v>
      </c>
      <c r="J492" s="75">
        <v>154</v>
      </c>
      <c r="K492" s="63">
        <f t="shared" si="300"/>
        <v>141.33333333333334</v>
      </c>
      <c r="L492" s="109">
        <f>SUM(141*92)</f>
        <v>12972</v>
      </c>
      <c r="M492" s="75">
        <v>167</v>
      </c>
      <c r="N492" s="75">
        <v>159</v>
      </c>
      <c r="O492" s="75">
        <v>155</v>
      </c>
      <c r="P492" s="63">
        <f t="shared" si="301"/>
        <v>160.33333333333334</v>
      </c>
      <c r="Q492" s="109">
        <f>SUM(160*90)</f>
        <v>14400</v>
      </c>
      <c r="R492" s="75">
        <v>171</v>
      </c>
      <c r="S492" s="75">
        <v>159</v>
      </c>
      <c r="T492" s="76">
        <v>136</v>
      </c>
      <c r="U492" s="63">
        <f t="shared" si="302"/>
        <v>155.33333333333334</v>
      </c>
      <c r="V492" s="111">
        <f>SUM(155*91)</f>
        <v>14105</v>
      </c>
      <c r="W492" s="64">
        <f t="shared" si="303"/>
        <v>140.83333333333334</v>
      </c>
      <c r="X492" s="66">
        <f>141*365</f>
        <v>51465</v>
      </c>
    </row>
    <row r="493" spans="1:24" ht="15.75" x14ac:dyDescent="0.25">
      <c r="A493" s="50" t="s">
        <v>136</v>
      </c>
      <c r="B493" s="34"/>
      <c r="C493" s="75">
        <v>601</v>
      </c>
      <c r="D493" s="75">
        <v>597</v>
      </c>
      <c r="E493" s="75">
        <v>621</v>
      </c>
      <c r="F493" s="63">
        <f t="shared" si="304"/>
        <v>606.33333333333337</v>
      </c>
      <c r="G493" s="109">
        <f>SUM(606*92)</f>
        <v>55752</v>
      </c>
      <c r="H493" s="75">
        <v>608</v>
      </c>
      <c r="I493" s="75">
        <v>613</v>
      </c>
      <c r="J493" s="75">
        <v>628</v>
      </c>
      <c r="K493" s="63">
        <v>617</v>
      </c>
      <c r="L493" s="109">
        <f>SUM(617*92)</f>
        <v>56764</v>
      </c>
      <c r="M493" s="75">
        <v>623</v>
      </c>
      <c r="N493" s="75">
        <v>622</v>
      </c>
      <c r="O493" s="75">
        <v>650</v>
      </c>
      <c r="P493" s="63">
        <f t="shared" si="301"/>
        <v>631.66666666666663</v>
      </c>
      <c r="Q493" s="109">
        <f>SUM(632*90)</f>
        <v>56880</v>
      </c>
      <c r="R493" s="75">
        <v>642</v>
      </c>
      <c r="S493" s="75">
        <v>637</v>
      </c>
      <c r="T493" s="76">
        <v>648</v>
      </c>
      <c r="U493" s="63">
        <f t="shared" si="302"/>
        <v>642.33333333333337</v>
      </c>
      <c r="V493" s="111">
        <f>SUM(642*91)</f>
        <v>58422</v>
      </c>
      <c r="W493" s="64">
        <f t="shared" si="303"/>
        <v>624.16666666666663</v>
      </c>
      <c r="X493" s="66">
        <f>624*365</f>
        <v>227760</v>
      </c>
    </row>
    <row r="494" spans="1:24" ht="15.75" x14ac:dyDescent="0.25">
      <c r="A494" s="50" t="s">
        <v>137</v>
      </c>
      <c r="B494" s="34"/>
      <c r="C494" s="75">
        <v>24</v>
      </c>
      <c r="D494" s="75">
        <v>24</v>
      </c>
      <c r="E494" s="75">
        <v>24</v>
      </c>
      <c r="F494" s="63">
        <f t="shared" si="304"/>
        <v>24</v>
      </c>
      <c r="G494" s="109">
        <f>SUM(24*92)</f>
        <v>2208</v>
      </c>
      <c r="H494" s="75">
        <v>23</v>
      </c>
      <c r="I494" s="75">
        <v>23</v>
      </c>
      <c r="J494" s="75">
        <v>23</v>
      </c>
      <c r="K494" s="63">
        <f t="shared" si="300"/>
        <v>23</v>
      </c>
      <c r="L494" s="109">
        <f>SUM(23*92)</f>
        <v>2116</v>
      </c>
      <c r="M494" s="75">
        <v>21</v>
      </c>
      <c r="N494" s="75">
        <v>21</v>
      </c>
      <c r="O494" s="75">
        <v>22</v>
      </c>
      <c r="P494" s="63">
        <f t="shared" si="301"/>
        <v>21.333333333333332</v>
      </c>
      <c r="Q494" s="109">
        <f>SUM(21*90)</f>
        <v>1890</v>
      </c>
      <c r="R494" s="75">
        <v>21</v>
      </c>
      <c r="S494" s="75">
        <v>22</v>
      </c>
      <c r="T494" s="76">
        <v>22</v>
      </c>
      <c r="U494" s="63">
        <f t="shared" si="302"/>
        <v>21.666666666666668</v>
      </c>
      <c r="V494" s="111">
        <f>SUM(22*91)</f>
        <v>2002</v>
      </c>
      <c r="W494" s="64">
        <f t="shared" si="303"/>
        <v>22.5</v>
      </c>
      <c r="X494" s="66">
        <f>23*365</f>
        <v>8395</v>
      </c>
    </row>
    <row r="495" spans="1:24" ht="16.5" thickBot="1" x14ac:dyDescent="0.3">
      <c r="A495" s="52" t="s">
        <v>138</v>
      </c>
      <c r="B495" s="36"/>
      <c r="C495" s="77">
        <v>101</v>
      </c>
      <c r="D495" s="77">
        <v>106</v>
      </c>
      <c r="E495" s="77">
        <v>93</v>
      </c>
      <c r="F495" s="67">
        <f t="shared" si="304"/>
        <v>100</v>
      </c>
      <c r="G495" s="110">
        <f>SUM(100*92)</f>
        <v>9200</v>
      </c>
      <c r="H495" s="77">
        <v>95</v>
      </c>
      <c r="I495" s="77">
        <v>101</v>
      </c>
      <c r="J495" s="77">
        <v>90</v>
      </c>
      <c r="K495" s="67">
        <f t="shared" si="300"/>
        <v>95.333333333333329</v>
      </c>
      <c r="L495" s="110">
        <f>SUM(95*92)</f>
        <v>8740</v>
      </c>
      <c r="M495" s="77">
        <v>84</v>
      </c>
      <c r="N495" s="77">
        <v>84</v>
      </c>
      <c r="O495" s="77">
        <v>86</v>
      </c>
      <c r="P495" s="67">
        <f t="shared" si="301"/>
        <v>84.666666666666671</v>
      </c>
      <c r="Q495" s="110">
        <f>SUM(85*90)</f>
        <v>7650</v>
      </c>
      <c r="R495" s="77">
        <v>86</v>
      </c>
      <c r="S495" s="77">
        <v>102</v>
      </c>
      <c r="T495" s="78">
        <v>100</v>
      </c>
      <c r="U495" s="67">
        <f t="shared" si="302"/>
        <v>96</v>
      </c>
      <c r="V495" s="112">
        <f>SUM(96*91)</f>
        <v>8736</v>
      </c>
      <c r="W495" s="64">
        <f t="shared" si="303"/>
        <v>94</v>
      </c>
      <c r="X495" s="79">
        <f>94*365</f>
        <v>34310</v>
      </c>
    </row>
    <row r="496" spans="1:24" ht="16.5" thickBot="1" x14ac:dyDescent="0.3">
      <c r="A496" s="53" t="s">
        <v>141</v>
      </c>
      <c r="B496" s="37"/>
      <c r="C496" s="80">
        <f>SUM(C489:C495)</f>
        <v>1580</v>
      </c>
      <c r="D496" s="80">
        <f>SUM(D489:D495)</f>
        <v>1605</v>
      </c>
      <c r="E496" s="80">
        <f>SUM(E489:E495)</f>
        <v>1539</v>
      </c>
      <c r="F496" s="68">
        <f t="shared" si="304"/>
        <v>1574.6666666666667</v>
      </c>
      <c r="G496" s="95">
        <f>SUM(G489:G495)</f>
        <v>144900</v>
      </c>
      <c r="H496" s="80">
        <f>SUM(H489:H495)</f>
        <v>1666</v>
      </c>
      <c r="I496" s="80">
        <f>SUM(I489:I495)</f>
        <v>1692</v>
      </c>
      <c r="J496" s="80">
        <f>SUM(J489:J495)</f>
        <v>1683</v>
      </c>
      <c r="K496" s="68">
        <f t="shared" si="300"/>
        <v>1680.3333333333333</v>
      </c>
      <c r="L496" s="95">
        <f>SUM(1680*92)</f>
        <v>154560</v>
      </c>
      <c r="M496" s="80">
        <f>SUM(M489:M495)</f>
        <v>1709</v>
      </c>
      <c r="N496" s="80">
        <f>SUM(N489:N495)</f>
        <v>1685</v>
      </c>
      <c r="O496" s="80">
        <f>SUM(O489:O495)</f>
        <v>1697</v>
      </c>
      <c r="P496" s="68">
        <f t="shared" si="301"/>
        <v>1697</v>
      </c>
      <c r="Q496" s="95">
        <f>SUM(1697*90)</f>
        <v>152730</v>
      </c>
      <c r="R496" s="80">
        <f>SUM(R489:R495)</f>
        <v>1674</v>
      </c>
      <c r="S496" s="80">
        <f>SUM(S489:S495)</f>
        <v>1665</v>
      </c>
      <c r="T496" s="81">
        <f>SUM(T489:T495)</f>
        <v>1651</v>
      </c>
      <c r="U496" s="68">
        <f t="shared" si="302"/>
        <v>1663.3333333333333</v>
      </c>
      <c r="V496" s="99">
        <f>SUM(1663*91)</f>
        <v>151333</v>
      </c>
      <c r="W496" s="69">
        <f>SUM(W489:W495)</f>
        <v>1653.8333333333335</v>
      </c>
      <c r="X496" s="69">
        <f>SUM(X489:X495)</f>
        <v>603710</v>
      </c>
    </row>
    <row r="497" spans="1:24" ht="16.5" thickBot="1" x14ac:dyDescent="0.3">
      <c r="A497" s="54" t="s">
        <v>145</v>
      </c>
      <c r="B497" s="38"/>
      <c r="C497" s="80">
        <f>C487+C496</f>
        <v>4524</v>
      </c>
      <c r="D497" s="80">
        <f>D487+D496</f>
        <v>4570</v>
      </c>
      <c r="E497" s="80">
        <f>E487+E496</f>
        <v>4490</v>
      </c>
      <c r="F497" s="99">
        <f t="shared" si="304"/>
        <v>4528</v>
      </c>
      <c r="G497" s="107">
        <f>SUM(G487+G496)</f>
        <v>416576</v>
      </c>
      <c r="H497" s="80">
        <f>H487+H496</f>
        <v>4637</v>
      </c>
      <c r="I497" s="80">
        <f>I487+I496</f>
        <v>4704</v>
      </c>
      <c r="J497" s="80">
        <f>J487+J496</f>
        <v>4614</v>
      </c>
      <c r="K497" s="99">
        <v>4651</v>
      </c>
      <c r="L497" s="107">
        <f>SUM(L487+L496)</f>
        <v>427892</v>
      </c>
      <c r="M497" s="80">
        <f>M487+M496</f>
        <v>4696</v>
      </c>
      <c r="N497" s="80">
        <f>N487+N496</f>
        <v>4771</v>
      </c>
      <c r="O497" s="80">
        <f>O487+O496</f>
        <v>4748.26</v>
      </c>
      <c r="P497" s="99">
        <f t="shared" si="301"/>
        <v>4738.42</v>
      </c>
      <c r="Q497" s="107">
        <f>SUM(Q487+Q496)</f>
        <v>426420</v>
      </c>
      <c r="R497" s="80">
        <f>R487+R496</f>
        <v>4718</v>
      </c>
      <c r="S497" s="80">
        <f>S487+S496</f>
        <v>4716.38</v>
      </c>
      <c r="T497" s="81">
        <f>T487+T496</f>
        <v>4711.2999999999993</v>
      </c>
      <c r="U497" s="99">
        <f t="shared" si="302"/>
        <v>4715.2266666666665</v>
      </c>
      <c r="V497" s="68">
        <f>SUM(V487+V496)</f>
        <v>429065</v>
      </c>
      <c r="W497" s="80">
        <f>W487+W496</f>
        <v>4658.3283333333338</v>
      </c>
      <c r="X497" s="82">
        <f>X487+X496</f>
        <v>1700170</v>
      </c>
    </row>
    <row r="498" spans="1:24" ht="14.25" x14ac:dyDescent="0.2">
      <c r="C498" s="13"/>
      <c r="D498" s="13"/>
      <c r="E498" s="13"/>
      <c r="F498" s="13"/>
      <c r="G498" s="13"/>
      <c r="H498" s="13"/>
      <c r="I498" s="13"/>
      <c r="J498" s="13"/>
      <c r="K498" s="13"/>
      <c r="L498" s="13"/>
      <c r="M498" s="13"/>
      <c r="N498" s="13"/>
      <c r="O498" s="13"/>
      <c r="P498" s="13"/>
      <c r="Q498" s="13"/>
      <c r="R498" s="13"/>
      <c r="S498" s="13"/>
      <c r="T498" s="13"/>
      <c r="U498" s="13"/>
      <c r="V498" s="13"/>
      <c r="W498" s="13"/>
      <c r="X498" s="13"/>
    </row>
    <row r="499" spans="1:24" ht="14.25" x14ac:dyDescent="0.2">
      <c r="C499" s="13"/>
      <c r="D499" s="13"/>
      <c r="E499" s="13"/>
      <c r="F499" s="13"/>
      <c r="G499" s="13"/>
      <c r="H499" s="13"/>
      <c r="I499" s="13"/>
      <c r="J499" s="13"/>
      <c r="K499" s="13"/>
      <c r="L499" s="13"/>
      <c r="M499" s="13"/>
      <c r="N499" s="13"/>
      <c r="O499" s="13"/>
      <c r="P499" s="13"/>
      <c r="Q499" s="13"/>
      <c r="R499" s="13"/>
      <c r="S499" s="13"/>
      <c r="T499" s="13"/>
      <c r="U499" s="13"/>
      <c r="V499" s="13"/>
      <c r="W499" s="13"/>
      <c r="X499" s="13"/>
    </row>
  </sheetData>
  <mergeCells count="180">
    <mergeCell ref="W4:W5"/>
    <mergeCell ref="X4:X5"/>
    <mergeCell ref="Y4:Y5"/>
    <mergeCell ref="B3:U3"/>
    <mergeCell ref="C4:C5"/>
    <mergeCell ref="G4:G5"/>
    <mergeCell ref="H4:H5"/>
    <mergeCell ref="L4:L5"/>
    <mergeCell ref="M4:M5"/>
    <mergeCell ref="Q4:Q5"/>
    <mergeCell ref="R4:R5"/>
    <mergeCell ref="V4:V5"/>
    <mergeCell ref="B226:T226"/>
    <mergeCell ref="F227:F228"/>
    <mergeCell ref="G227:G228"/>
    <mergeCell ref="K227:K228"/>
    <mergeCell ref="L227:L228"/>
    <mergeCell ref="P227:P228"/>
    <mergeCell ref="Q227:Q228"/>
    <mergeCell ref="V257:V258"/>
    <mergeCell ref="V317:V318"/>
    <mergeCell ref="Q317:Q318"/>
    <mergeCell ref="U227:U228"/>
    <mergeCell ref="V227:V228"/>
    <mergeCell ref="Q257:Q258"/>
    <mergeCell ref="U317:U318"/>
    <mergeCell ref="W227:W228"/>
    <mergeCell ref="V287:V288"/>
    <mergeCell ref="Q287:Q288"/>
    <mergeCell ref="B256:T256"/>
    <mergeCell ref="G257:G258"/>
    <mergeCell ref="L287:L288"/>
    <mergeCell ref="B286:T286"/>
    <mergeCell ref="F287:F288"/>
    <mergeCell ref="G287:G288"/>
    <mergeCell ref="K287:K288"/>
    <mergeCell ref="U287:U288"/>
    <mergeCell ref="L257:L258"/>
    <mergeCell ref="F257:F258"/>
    <mergeCell ref="P257:P258"/>
    <mergeCell ref="P287:P288"/>
    <mergeCell ref="K472:K473"/>
    <mergeCell ref="P472:P473"/>
    <mergeCell ref="U472:U473"/>
    <mergeCell ref="G472:G473"/>
    <mergeCell ref="Q347:Q348"/>
    <mergeCell ref="F377:F378"/>
    <mergeCell ref="Q377:Q378"/>
    <mergeCell ref="G407:G408"/>
    <mergeCell ref="L377:L378"/>
    <mergeCell ref="K441:K442"/>
    <mergeCell ref="P441:P442"/>
    <mergeCell ref="U441:U442"/>
    <mergeCell ref="L441:L442"/>
    <mergeCell ref="Q441:Q442"/>
    <mergeCell ref="Q407:Q408"/>
    <mergeCell ref="F438:F439"/>
    <mergeCell ref="U407:U408"/>
    <mergeCell ref="L347:L348"/>
    <mergeCell ref="P347:P348"/>
    <mergeCell ref="P377:P378"/>
    <mergeCell ref="K377:K378"/>
    <mergeCell ref="X317:X318"/>
    <mergeCell ref="V377:V378"/>
    <mergeCell ref="V472:V473"/>
    <mergeCell ref="Q472:Q473"/>
    <mergeCell ref="L472:L473"/>
    <mergeCell ref="W472:W473"/>
    <mergeCell ref="W441:W442"/>
    <mergeCell ref="B471:U471"/>
    <mergeCell ref="B406:T406"/>
    <mergeCell ref="F441:F442"/>
    <mergeCell ref="U347:U348"/>
    <mergeCell ref="X472:X473"/>
    <mergeCell ref="G441:G442"/>
    <mergeCell ref="F317:F318"/>
    <mergeCell ref="U377:U378"/>
    <mergeCell ref="G377:G378"/>
    <mergeCell ref="X441:X442"/>
    <mergeCell ref="V441:V442"/>
    <mergeCell ref="X347:X348"/>
    <mergeCell ref="B346:T346"/>
    <mergeCell ref="F347:F348"/>
    <mergeCell ref="G347:G348"/>
    <mergeCell ref="K347:K348"/>
    <mergeCell ref="F472:F473"/>
    <mergeCell ref="W407:W408"/>
    <mergeCell ref="K407:K408"/>
    <mergeCell ref="L407:L408"/>
    <mergeCell ref="P407:P408"/>
    <mergeCell ref="B437:T437"/>
    <mergeCell ref="F407:F408"/>
    <mergeCell ref="V407:V408"/>
    <mergeCell ref="L317:L318"/>
    <mergeCell ref="B316:T316"/>
    <mergeCell ref="G317:G318"/>
    <mergeCell ref="K317:K318"/>
    <mergeCell ref="P317:P318"/>
    <mergeCell ref="X377:X378"/>
    <mergeCell ref="X407:X408"/>
    <mergeCell ref="X257:X258"/>
    <mergeCell ref="W347:W348"/>
    <mergeCell ref="W377:W378"/>
    <mergeCell ref="X287:X288"/>
    <mergeCell ref="F198:F199"/>
    <mergeCell ref="G198:G199"/>
    <mergeCell ref="K198:K199"/>
    <mergeCell ref="L198:L199"/>
    <mergeCell ref="P198:P199"/>
    <mergeCell ref="Q198:Q199"/>
    <mergeCell ref="W317:W318"/>
    <mergeCell ref="W257:W258"/>
    <mergeCell ref="W287:W288"/>
    <mergeCell ref="V347:V348"/>
    <mergeCell ref="B376:T376"/>
    <mergeCell ref="W198:W199"/>
    <mergeCell ref="X198:X199"/>
    <mergeCell ref="X227:X228"/>
    <mergeCell ref="U198:U199"/>
    <mergeCell ref="V198:V199"/>
    <mergeCell ref="U257:U258"/>
    <mergeCell ref="K257:K258"/>
    <mergeCell ref="W101:W102"/>
    <mergeCell ref="X101:X102"/>
    <mergeCell ref="U166:U167"/>
    <mergeCell ref="V166:V167"/>
    <mergeCell ref="W166:W167"/>
    <mergeCell ref="X166:X167"/>
    <mergeCell ref="Q166:Q167"/>
    <mergeCell ref="B197:T197"/>
    <mergeCell ref="P135:P136"/>
    <mergeCell ref="Q135:Q136"/>
    <mergeCell ref="B165:T165"/>
    <mergeCell ref="F166:F167"/>
    <mergeCell ref="G166:G167"/>
    <mergeCell ref="K166:K167"/>
    <mergeCell ref="L166:L167"/>
    <mergeCell ref="P166:P167"/>
    <mergeCell ref="W135:W136"/>
    <mergeCell ref="X135:X136"/>
    <mergeCell ref="B100:T100"/>
    <mergeCell ref="F101:F102"/>
    <mergeCell ref="G101:G102"/>
    <mergeCell ref="K101:K102"/>
    <mergeCell ref="L101:L102"/>
    <mergeCell ref="P101:P102"/>
    <mergeCell ref="Q101:Q102"/>
    <mergeCell ref="U135:U136"/>
    <mergeCell ref="V135:V136"/>
    <mergeCell ref="B134:T134"/>
    <mergeCell ref="F135:F136"/>
    <mergeCell ref="G135:G136"/>
    <mergeCell ref="K135:K136"/>
    <mergeCell ref="L135:L136"/>
    <mergeCell ref="U101:U102"/>
    <mergeCell ref="V101:V102"/>
    <mergeCell ref="X65:X66"/>
    <mergeCell ref="Y65:Y66"/>
    <mergeCell ref="B64:U64"/>
    <mergeCell ref="G65:G66"/>
    <mergeCell ref="H65:H66"/>
    <mergeCell ref="L65:L66"/>
    <mergeCell ref="M65:M66"/>
    <mergeCell ref="Q65:Q66"/>
    <mergeCell ref="R65:R66"/>
    <mergeCell ref="C65:C66"/>
    <mergeCell ref="V65:V66"/>
    <mergeCell ref="W65:W66"/>
    <mergeCell ref="W34:W35"/>
    <mergeCell ref="X34:X35"/>
    <mergeCell ref="Y34:Y35"/>
    <mergeCell ref="B33:U33"/>
    <mergeCell ref="C34:C35"/>
    <mergeCell ref="G34:G35"/>
    <mergeCell ref="H34:H35"/>
    <mergeCell ref="L34:L35"/>
    <mergeCell ref="M34:M35"/>
    <mergeCell ref="Q34:Q35"/>
    <mergeCell ref="R34:R35"/>
    <mergeCell ref="V34:V35"/>
  </mergeCells>
  <phoneticPr fontId="21" type="noConversion"/>
  <printOptions horizontalCentered="1"/>
  <pageMargins left="0" right="0" top="0.97" bottom="0.5" header="0.33" footer="0.5"/>
  <pageSetup scale="52" fitToHeight="0" orientation="landscape" r:id="rId1"/>
  <headerFooter alignWithMargins="0">
    <oddHeader>&amp;C&amp;"Arial,Bold"&amp;12DEPARTMENT OF CORRECTIONS
 COST OF CARE Year 2019
(Based on Fiscal Year 2018 Actuals)</oddHeader>
    <oddFooter>&amp;L&amp;8&amp;F &amp;A&amp;R&amp;8&amp;D &amp;T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pageSetUpPr fitToPage="1"/>
  </sheetPr>
  <dimension ref="A1:O50"/>
  <sheetViews>
    <sheetView showGridLines="0" workbookViewId="0">
      <selection activeCell="B21" sqref="B21:M21"/>
    </sheetView>
  </sheetViews>
  <sheetFormatPr defaultColWidth="9.140625" defaultRowHeight="15" x14ac:dyDescent="0.25"/>
  <cols>
    <col min="1" max="1" width="30.140625" style="205" customWidth="1"/>
    <col min="2" max="2" width="8.140625" style="205" bestFit="1" customWidth="1"/>
    <col min="3" max="3" width="8" style="205" bestFit="1" customWidth="1"/>
    <col min="4" max="4" width="8.140625" style="205" bestFit="1" customWidth="1"/>
    <col min="5" max="5" width="7.7109375" style="205" bestFit="1" customWidth="1"/>
    <col min="6" max="6" width="8.28515625" style="205" bestFit="1" customWidth="1"/>
    <col min="7" max="7" width="8.85546875" style="205" customWidth="1"/>
    <col min="8" max="8" width="7.7109375" style="205" bestFit="1" customWidth="1"/>
    <col min="9" max="10" width="8" style="205" bestFit="1" customWidth="1"/>
    <col min="11" max="11" width="8.42578125" style="205" bestFit="1" customWidth="1"/>
    <col min="12" max="12" width="8.28515625" style="205" bestFit="1" customWidth="1"/>
    <col min="13" max="13" width="8.140625" style="205" bestFit="1" customWidth="1"/>
    <col min="14" max="14" width="15.140625" style="205" customWidth="1"/>
    <col min="15" max="15" width="11.85546875" style="205" customWidth="1"/>
    <col min="16" max="16384" width="9.140625" style="205"/>
  </cols>
  <sheetData>
    <row r="1" spans="1:15" ht="31.5" customHeight="1" thickBot="1" x14ac:dyDescent="0.3">
      <c r="A1" s="482" t="s">
        <v>227</v>
      </c>
      <c r="B1" s="1067" t="s">
        <v>825</v>
      </c>
      <c r="C1" s="1068"/>
      <c r="D1" s="1068"/>
      <c r="E1" s="1068"/>
      <c r="F1" s="1068"/>
      <c r="G1" s="1068"/>
      <c r="H1" s="1068"/>
      <c r="I1" s="1068"/>
      <c r="J1" s="1068"/>
      <c r="K1" s="1068"/>
      <c r="L1" s="1068"/>
      <c r="M1" s="1069"/>
      <c r="N1" s="1064" t="s">
        <v>266</v>
      </c>
      <c r="O1" s="1066" t="s">
        <v>267</v>
      </c>
    </row>
    <row r="2" spans="1:15" ht="15.75" thickBot="1" x14ac:dyDescent="0.3">
      <c r="A2" s="483"/>
      <c r="B2" s="484">
        <v>42925</v>
      </c>
      <c r="C2" s="484">
        <v>42956</v>
      </c>
      <c r="D2" s="484">
        <v>42987</v>
      </c>
      <c r="E2" s="484">
        <v>43017</v>
      </c>
      <c r="F2" s="484">
        <v>43048</v>
      </c>
      <c r="G2" s="484">
        <v>43078</v>
      </c>
      <c r="H2" s="484">
        <v>43109</v>
      </c>
      <c r="I2" s="484">
        <v>43140</v>
      </c>
      <c r="J2" s="484">
        <v>43168</v>
      </c>
      <c r="K2" s="484">
        <v>43199</v>
      </c>
      <c r="L2" s="484">
        <v>43229</v>
      </c>
      <c r="M2" s="484">
        <v>43260</v>
      </c>
      <c r="N2" s="1065"/>
      <c r="O2" s="1065"/>
    </row>
    <row r="3" spans="1:15" x14ac:dyDescent="0.25">
      <c r="A3" s="478" t="s">
        <v>265</v>
      </c>
      <c r="B3" s="492">
        <f>'Qtrly''s-Cntsht Book'!D22</f>
        <v>369.55</v>
      </c>
      <c r="C3" s="492">
        <f>'Qtrly''s-Cntsht Book'!E22</f>
        <v>363.84</v>
      </c>
      <c r="D3" s="492">
        <f>'Qtrly''s-Cntsht Book'!F22</f>
        <v>360.67</v>
      </c>
      <c r="E3" s="492">
        <f>'Qtrly''s-Cntsht Book'!I22</f>
        <v>343.19</v>
      </c>
      <c r="F3" s="492">
        <f>'Qtrly''s-Cntsht Book'!J22</f>
        <v>316.89999999999998</v>
      </c>
      <c r="G3" s="492">
        <f>'Qtrly''s-Cntsht Book'!K22</f>
        <v>295.35000000000002</v>
      </c>
      <c r="H3" s="492">
        <f>'Qtrly''s-Cntsht Book'!N22</f>
        <v>265.35000000000002</v>
      </c>
      <c r="I3" s="492">
        <f>'Qtrly''s-Cntsht Book'!O22</f>
        <v>317.61</v>
      </c>
      <c r="J3" s="492">
        <f>'Qtrly''s-Cntsht Book'!P22</f>
        <v>322.52</v>
      </c>
      <c r="K3" s="492">
        <f>'Qtrly''s-Cntsht Book'!S22</f>
        <v>304.60000000000002</v>
      </c>
      <c r="L3" s="492">
        <f>'Qtrly''s-Cntsht Book'!T22</f>
        <v>286.19</v>
      </c>
      <c r="M3" s="492">
        <f>'Qtrly''s-Cntsht Book'!U22</f>
        <v>286.19</v>
      </c>
      <c r="N3" s="487">
        <f>SUM(B3:M3)/12</f>
        <v>319.33</v>
      </c>
      <c r="O3" s="488">
        <f>'Qtrly''s-Cntsht Book'!Y22</f>
        <v>116555.45</v>
      </c>
    </row>
    <row r="4" spans="1:15" ht="15.75" thickBot="1" x14ac:dyDescent="0.3">
      <c r="A4" s="903"/>
      <c r="B4" s="498"/>
      <c r="C4" s="498"/>
      <c r="D4" s="498"/>
      <c r="E4" s="498"/>
      <c r="F4" s="498"/>
      <c r="G4" s="498"/>
      <c r="H4" s="498"/>
      <c r="I4" s="498"/>
      <c r="J4" s="498"/>
      <c r="K4" s="498"/>
      <c r="L4" s="498"/>
      <c r="M4" s="498"/>
      <c r="N4" s="904"/>
      <c r="O4" s="905"/>
    </row>
    <row r="5" spans="1:15" ht="31.5" customHeight="1" thickBot="1" x14ac:dyDescent="0.3">
      <c r="A5" s="482" t="s">
        <v>227</v>
      </c>
      <c r="B5" s="1061" t="s">
        <v>784</v>
      </c>
      <c r="C5" s="1062"/>
      <c r="D5" s="1062"/>
      <c r="E5" s="1062"/>
      <c r="F5" s="1062"/>
      <c r="G5" s="1062"/>
      <c r="H5" s="1062"/>
      <c r="I5" s="1062"/>
      <c r="J5" s="1062"/>
      <c r="K5" s="1062"/>
      <c r="L5" s="1062"/>
      <c r="M5" s="1063"/>
      <c r="N5" s="1064" t="s">
        <v>266</v>
      </c>
      <c r="O5" s="1066" t="s">
        <v>267</v>
      </c>
    </row>
    <row r="6" spans="1:15" ht="15.75" thickBot="1" x14ac:dyDescent="0.3">
      <c r="A6" s="483"/>
      <c r="B6" s="484">
        <v>42560</v>
      </c>
      <c r="C6" s="484">
        <v>42591</v>
      </c>
      <c r="D6" s="484">
        <v>42622</v>
      </c>
      <c r="E6" s="484">
        <v>42652</v>
      </c>
      <c r="F6" s="484">
        <v>42683</v>
      </c>
      <c r="G6" s="484">
        <v>42713</v>
      </c>
      <c r="H6" s="484">
        <v>42744</v>
      </c>
      <c r="I6" s="484">
        <v>42775</v>
      </c>
      <c r="J6" s="484">
        <v>42803</v>
      </c>
      <c r="K6" s="484">
        <v>42834</v>
      </c>
      <c r="L6" s="484">
        <v>42864</v>
      </c>
      <c r="M6" s="484">
        <v>42895</v>
      </c>
      <c r="N6" s="1065"/>
      <c r="O6" s="1065"/>
    </row>
    <row r="7" spans="1:15" x14ac:dyDescent="0.25">
      <c r="A7" s="478" t="s">
        <v>265</v>
      </c>
      <c r="B7" s="492">
        <f>'Qtrly''s-Cntsht Book'!D52</f>
        <v>495.61</v>
      </c>
      <c r="C7" s="492">
        <f>'Qtrly''s-Cntsht Book'!E52</f>
        <v>470</v>
      </c>
      <c r="D7" s="492">
        <f>'Qtrly''s-Cntsht Book'!F52</f>
        <v>476</v>
      </c>
      <c r="E7" s="492">
        <f>'Qtrly''s-Cntsht Book'!I52</f>
        <v>430</v>
      </c>
      <c r="F7" s="492">
        <f>'Qtrly''s-Cntsht Book'!J52</f>
        <v>435</v>
      </c>
      <c r="G7" s="492">
        <f>'Qtrly''s-Cntsht Book'!K52</f>
        <v>424</v>
      </c>
      <c r="H7" s="492">
        <f>'Qtrly''s-Cntsht Book'!N52</f>
        <v>412</v>
      </c>
      <c r="I7" s="492">
        <f>'Qtrly''s-Cntsht Book'!O52</f>
        <v>432</v>
      </c>
      <c r="J7" s="492">
        <f>'Qtrly''s-Cntsht Book'!P52</f>
        <v>398</v>
      </c>
      <c r="K7" s="492">
        <f>'Qtrly''s-Cntsht Book'!S52</f>
        <v>408</v>
      </c>
      <c r="L7" s="492">
        <f>'Qtrly''s-Cntsht Book'!T52</f>
        <v>396.97</v>
      </c>
      <c r="M7" s="492">
        <f>'Qtrly''s-Cntsht Book'!U52</f>
        <v>386</v>
      </c>
      <c r="N7" s="487">
        <f>SUM(B7:M7)/12</f>
        <v>430.2983333333334</v>
      </c>
      <c r="O7" s="488">
        <f>'Qtrly''s-Cntsht Book'!Y52</f>
        <v>157058.89166666669</v>
      </c>
    </row>
    <row r="8" spans="1:15" ht="15.75" thickBot="1" x14ac:dyDescent="0.3"/>
    <row r="9" spans="1:15" ht="31.5" customHeight="1" thickBot="1" x14ac:dyDescent="0.3">
      <c r="A9" s="482" t="s">
        <v>227</v>
      </c>
      <c r="B9" s="1067" t="s">
        <v>570</v>
      </c>
      <c r="C9" s="1068"/>
      <c r="D9" s="1068"/>
      <c r="E9" s="1068"/>
      <c r="F9" s="1068"/>
      <c r="G9" s="1068"/>
      <c r="H9" s="1068"/>
      <c r="I9" s="1068"/>
      <c r="J9" s="1068"/>
      <c r="K9" s="1068"/>
      <c r="L9" s="1068"/>
      <c r="M9" s="1069"/>
      <c r="N9" s="1064" t="s">
        <v>266</v>
      </c>
      <c r="O9" s="1066" t="s">
        <v>267</v>
      </c>
    </row>
    <row r="10" spans="1:15" ht="15.75" thickBot="1" x14ac:dyDescent="0.3">
      <c r="A10" s="483"/>
      <c r="B10" s="484">
        <v>42194</v>
      </c>
      <c r="C10" s="484">
        <v>42225</v>
      </c>
      <c r="D10" s="484">
        <v>42256</v>
      </c>
      <c r="E10" s="484">
        <v>42286</v>
      </c>
      <c r="F10" s="484">
        <v>42317</v>
      </c>
      <c r="G10" s="484">
        <v>42347</v>
      </c>
      <c r="H10" s="484">
        <v>42378</v>
      </c>
      <c r="I10" s="484">
        <v>42409</v>
      </c>
      <c r="J10" s="484">
        <v>42438</v>
      </c>
      <c r="K10" s="484">
        <v>42469</v>
      </c>
      <c r="L10" s="484">
        <v>42499</v>
      </c>
      <c r="M10" s="484">
        <v>42530</v>
      </c>
      <c r="N10" s="1065"/>
      <c r="O10" s="1065"/>
    </row>
    <row r="11" spans="1:15" x14ac:dyDescent="0.25">
      <c r="A11" s="478" t="s">
        <v>265</v>
      </c>
      <c r="B11" s="492">
        <f>'Qtrly''s-Cntsht Book'!D83</f>
        <v>672.81</v>
      </c>
      <c r="C11" s="492">
        <f>'Qtrly''s-Cntsht Book'!E83</f>
        <v>677.1</v>
      </c>
      <c r="D11" s="492">
        <f>'Qtrly''s-Cntsht Book'!F83</f>
        <v>681.9</v>
      </c>
      <c r="E11" s="492">
        <f>'Qtrly''s-Cntsht Book'!I83</f>
        <v>648</v>
      </c>
      <c r="F11" s="492">
        <f>'Qtrly''s-Cntsht Book'!J83</f>
        <v>633.63</v>
      </c>
      <c r="G11" s="492">
        <f>'Qtrly''s-Cntsht Book'!K83</f>
        <v>647.29</v>
      </c>
      <c r="H11" s="492">
        <f>'Qtrly''s-Cntsht Book'!N83</f>
        <v>625.64</v>
      </c>
      <c r="I11" s="492">
        <f>'Qtrly''s-Cntsht Book'!O83</f>
        <v>607.83000000000004</v>
      </c>
      <c r="J11" s="492">
        <f>'Qtrly''s-Cntsht Book'!P83</f>
        <v>650</v>
      </c>
      <c r="K11" s="492">
        <f>'Qtrly''s-Cntsht Book'!S83</f>
        <v>627.20000000000005</v>
      </c>
      <c r="L11" s="492">
        <f>'Qtrly''s-Cntsht Book'!T83</f>
        <v>587.65</v>
      </c>
      <c r="M11" s="492">
        <f>'Qtrly''s-Cntsht Book'!U83</f>
        <v>561.73</v>
      </c>
      <c r="N11" s="487">
        <f>SUM(B11:M11)/12</f>
        <v>635.06499999999994</v>
      </c>
      <c r="O11" s="488">
        <f>'Qtrly''s-Cntsht Book'!Y83</f>
        <v>231798.72499999998</v>
      </c>
    </row>
    <row r="12" spans="1:15" ht="15.75" thickBot="1" x14ac:dyDescent="0.3"/>
    <row r="13" spans="1:15" ht="31.5" customHeight="1" thickBot="1" x14ac:dyDescent="0.3">
      <c r="A13" s="482" t="s">
        <v>227</v>
      </c>
      <c r="B13" s="1061" t="s">
        <v>529</v>
      </c>
      <c r="C13" s="1062"/>
      <c r="D13" s="1062"/>
      <c r="E13" s="1062"/>
      <c r="F13" s="1062"/>
      <c r="G13" s="1062"/>
      <c r="H13" s="1062"/>
      <c r="I13" s="1062"/>
      <c r="J13" s="1062"/>
      <c r="K13" s="1062"/>
      <c r="L13" s="1062"/>
      <c r="M13" s="1063"/>
      <c r="N13" s="1064" t="s">
        <v>266</v>
      </c>
      <c r="O13" s="1066" t="s">
        <v>267</v>
      </c>
    </row>
    <row r="14" spans="1:15" ht="15.75" thickBot="1" x14ac:dyDescent="0.3">
      <c r="A14" s="483"/>
      <c r="B14" s="484">
        <v>41829</v>
      </c>
      <c r="C14" s="484">
        <v>41860</v>
      </c>
      <c r="D14" s="484">
        <v>41891</v>
      </c>
      <c r="E14" s="484">
        <v>41921</v>
      </c>
      <c r="F14" s="484">
        <v>41952</v>
      </c>
      <c r="G14" s="484">
        <v>41982</v>
      </c>
      <c r="H14" s="484">
        <v>42013</v>
      </c>
      <c r="I14" s="484">
        <v>42044</v>
      </c>
      <c r="J14" s="484">
        <v>42072</v>
      </c>
      <c r="K14" s="484">
        <v>42103</v>
      </c>
      <c r="L14" s="484">
        <v>42133</v>
      </c>
      <c r="M14" s="484">
        <v>42164</v>
      </c>
      <c r="N14" s="1065"/>
      <c r="O14" s="1065"/>
    </row>
    <row r="15" spans="1:15" x14ac:dyDescent="0.25">
      <c r="A15" s="478" t="s">
        <v>265</v>
      </c>
      <c r="B15" s="492">
        <f>'Qtrly''s-Cntsht Book'!C119</f>
        <v>739.16</v>
      </c>
      <c r="C15" s="492">
        <f>'Qtrly''s-Cntsht Book'!D119</f>
        <v>734</v>
      </c>
      <c r="D15" s="492">
        <f>'Qtrly''s-Cntsht Book'!E119</f>
        <v>727.13</v>
      </c>
      <c r="E15" s="492">
        <f>'Qtrly''s-Cntsht Book'!H119</f>
        <v>708.87</v>
      </c>
      <c r="F15" s="492">
        <f>'Qtrly''s-Cntsht Book'!I119</f>
        <v>686.93</v>
      </c>
      <c r="G15" s="492">
        <f>'Qtrly''s-Cntsht Book'!J119</f>
        <v>643</v>
      </c>
      <c r="H15" s="492">
        <f>'Qtrly''s-Cntsht Book'!M119</f>
        <v>633.03</v>
      </c>
      <c r="I15" s="492">
        <f>'Qtrly''s-Cntsht Book'!N119</f>
        <v>647</v>
      </c>
      <c r="J15" s="492">
        <f>'Qtrly''s-Cntsht Book'!O119</f>
        <v>708.84</v>
      </c>
      <c r="K15" s="492">
        <f>'Qtrly''s-Cntsht Book'!R119</f>
        <v>694.6</v>
      </c>
      <c r="L15" s="492">
        <f>'Qtrly''s-Cntsht Book'!S119</f>
        <v>682.87</v>
      </c>
      <c r="M15" s="492">
        <f>'Qtrly''s-Cntsht Book'!T119</f>
        <v>683.07</v>
      </c>
      <c r="N15" s="487">
        <f>SUM(B15:M15)/12</f>
        <v>690.70833333333337</v>
      </c>
      <c r="O15" s="488">
        <f>'Qtrly''s-Cntsht Book'!X119</f>
        <v>252108.54166666669</v>
      </c>
    </row>
    <row r="16" spans="1:15" ht="15.75" thickBot="1" x14ac:dyDescent="0.3">
      <c r="A16" s="903"/>
      <c r="B16" s="498"/>
      <c r="C16" s="498"/>
      <c r="D16" s="498"/>
      <c r="E16" s="498"/>
      <c r="F16" s="498"/>
      <c r="G16" s="498"/>
      <c r="H16" s="498"/>
      <c r="I16" s="498"/>
      <c r="J16" s="498"/>
      <c r="K16" s="498"/>
      <c r="L16" s="498"/>
      <c r="M16" s="498"/>
      <c r="N16" s="498"/>
      <c r="O16" s="499"/>
    </row>
    <row r="17" spans="1:15" ht="31.5" customHeight="1" thickBot="1" x14ac:dyDescent="0.3">
      <c r="A17" s="482" t="s">
        <v>227</v>
      </c>
      <c r="B17" s="1067" t="s">
        <v>516</v>
      </c>
      <c r="C17" s="1068"/>
      <c r="D17" s="1068"/>
      <c r="E17" s="1068"/>
      <c r="F17" s="1068"/>
      <c r="G17" s="1068"/>
      <c r="H17" s="1068"/>
      <c r="I17" s="1068"/>
      <c r="J17" s="1068"/>
      <c r="K17" s="1068"/>
      <c r="L17" s="1068"/>
      <c r="M17" s="1069"/>
      <c r="N17" s="1064" t="s">
        <v>266</v>
      </c>
      <c r="O17" s="1066" t="s">
        <v>267</v>
      </c>
    </row>
    <row r="18" spans="1:15" ht="15.75" thickBot="1" x14ac:dyDescent="0.3">
      <c r="A18" s="483"/>
      <c r="B18" s="484">
        <v>41464</v>
      </c>
      <c r="C18" s="484">
        <v>41495</v>
      </c>
      <c r="D18" s="484">
        <v>41526</v>
      </c>
      <c r="E18" s="484">
        <v>41556</v>
      </c>
      <c r="F18" s="484">
        <v>41587</v>
      </c>
      <c r="G18" s="484">
        <v>41617</v>
      </c>
      <c r="H18" s="484">
        <v>41648</v>
      </c>
      <c r="I18" s="484">
        <v>41679</v>
      </c>
      <c r="J18" s="484">
        <v>41707</v>
      </c>
      <c r="K18" s="484">
        <v>41738</v>
      </c>
      <c r="L18" s="484">
        <v>41768</v>
      </c>
      <c r="M18" s="484">
        <v>41799</v>
      </c>
      <c r="N18" s="1065"/>
      <c r="O18" s="1065"/>
    </row>
    <row r="19" spans="1:15" x14ac:dyDescent="0.25">
      <c r="A19" s="478" t="s">
        <v>265</v>
      </c>
      <c r="B19" s="492">
        <f>'Qtrly''s-Cntsht Book'!C153</f>
        <v>779.06</v>
      </c>
      <c r="C19" s="492">
        <f>'Qtrly''s-Cntsht Book'!D153</f>
        <v>776.29</v>
      </c>
      <c r="D19" s="492">
        <f>'Qtrly''s-Cntsht Book'!E153</f>
        <v>789.97</v>
      </c>
      <c r="E19" s="492">
        <f>'Qtrly''s-Cntsht Book'!H153</f>
        <v>756.94</v>
      </c>
      <c r="F19" s="492">
        <f>'Qtrly''s-Cntsht Book'!I153</f>
        <v>766.6</v>
      </c>
      <c r="G19" s="492">
        <f>'Qtrly''s-Cntsht Book'!J153</f>
        <v>741.45</v>
      </c>
      <c r="H19" s="492">
        <f>'Qtrly''s-Cntsht Book'!M153</f>
        <v>742.32</v>
      </c>
      <c r="I19" s="492">
        <f>'Qtrly''s-Cntsht Book'!N153</f>
        <v>764</v>
      </c>
      <c r="J19" s="492">
        <f>'Qtrly''s-Cntsht Book'!O153</f>
        <v>776.68</v>
      </c>
      <c r="K19" s="492">
        <f>'Qtrly''s-Cntsht Book'!R153</f>
        <v>753.07</v>
      </c>
      <c r="L19" s="492">
        <f>'Qtrly''s-Cntsht Book'!S153</f>
        <v>741.45</v>
      </c>
      <c r="M19" s="492">
        <f>'Qtrly''s-Cntsht Book'!T153</f>
        <v>739.17</v>
      </c>
      <c r="N19" s="487">
        <f>SUM(B19:M19)/12</f>
        <v>760.58333333333337</v>
      </c>
      <c r="O19" s="488">
        <f>'Qtrly''s-Cntsht Book'!X153</f>
        <v>277612.91666666669</v>
      </c>
    </row>
    <row r="20" spans="1:15" ht="15.75" thickBot="1" x14ac:dyDescent="0.3">
      <c r="A20" s="903"/>
      <c r="B20" s="498"/>
      <c r="C20" s="498"/>
      <c r="D20" s="498"/>
      <c r="E20" s="498"/>
      <c r="F20" s="498"/>
      <c r="G20" s="498"/>
      <c r="H20" s="498"/>
      <c r="I20" s="498"/>
      <c r="J20" s="498"/>
      <c r="K20" s="498"/>
      <c r="L20" s="498"/>
      <c r="M20" s="498"/>
      <c r="N20" s="498"/>
      <c r="O20" s="499"/>
    </row>
    <row r="21" spans="1:15" ht="31.5" customHeight="1" thickBot="1" x14ac:dyDescent="0.3">
      <c r="A21" s="482" t="s">
        <v>227</v>
      </c>
      <c r="B21" s="1061" t="s">
        <v>472</v>
      </c>
      <c r="C21" s="1081"/>
      <c r="D21" s="1081"/>
      <c r="E21" s="1081"/>
      <c r="F21" s="1081"/>
      <c r="G21" s="1081"/>
      <c r="H21" s="1081"/>
      <c r="I21" s="1081"/>
      <c r="J21" s="1081"/>
      <c r="K21" s="1081"/>
      <c r="L21" s="1081"/>
      <c r="M21" s="1082"/>
      <c r="N21" s="1064" t="s">
        <v>266</v>
      </c>
      <c r="O21" s="1066" t="s">
        <v>267</v>
      </c>
    </row>
    <row r="22" spans="1:15" ht="15.75" thickBot="1" x14ac:dyDescent="0.3">
      <c r="A22" s="483"/>
      <c r="B22" s="484">
        <v>41099</v>
      </c>
      <c r="C22" s="484">
        <v>41130</v>
      </c>
      <c r="D22" s="484">
        <v>41161</v>
      </c>
      <c r="E22" s="484">
        <v>41191</v>
      </c>
      <c r="F22" s="484">
        <v>41222</v>
      </c>
      <c r="G22" s="484">
        <v>41252</v>
      </c>
      <c r="H22" s="484">
        <v>41283</v>
      </c>
      <c r="I22" s="484">
        <v>41314</v>
      </c>
      <c r="J22" s="484">
        <v>41342</v>
      </c>
      <c r="K22" s="484">
        <v>41373</v>
      </c>
      <c r="L22" s="484">
        <v>41403</v>
      </c>
      <c r="M22" s="484">
        <v>41434</v>
      </c>
      <c r="N22" s="1070"/>
      <c r="O22" s="1071"/>
    </row>
    <row r="23" spans="1:15" x14ac:dyDescent="0.25">
      <c r="A23" s="478" t="s">
        <v>265</v>
      </c>
      <c r="B23" s="492">
        <f>'Qtrly''s-Cntsht Book'!C184</f>
        <v>750.68</v>
      </c>
      <c r="C23" s="492">
        <f>'Qtrly''s-Cntsht Book'!D184</f>
        <v>754.87</v>
      </c>
      <c r="D23" s="492">
        <f>'Qtrly''s-Cntsht Book'!E184</f>
        <v>733.8</v>
      </c>
      <c r="E23" s="492">
        <f>'Qtrly''s-Cntsht Book'!H184</f>
        <v>732.16</v>
      </c>
      <c r="F23" s="492">
        <f>'Qtrly''s-Cntsht Book'!I184</f>
        <v>769.5</v>
      </c>
      <c r="G23" s="492">
        <f>'Qtrly''s-Cntsht Book'!J184</f>
        <v>753</v>
      </c>
      <c r="H23" s="492">
        <f>'Qtrly''s-Cntsht Book'!M184</f>
        <v>762.26</v>
      </c>
      <c r="I23" s="492">
        <f>'Qtrly''s-Cntsht Book'!N184</f>
        <v>778.68</v>
      </c>
      <c r="J23" s="492">
        <f>'Qtrly''s-Cntsht Book'!O184</f>
        <v>781.61</v>
      </c>
      <c r="K23" s="492">
        <f>'Qtrly''s-Cntsht Book'!R184</f>
        <v>765.3</v>
      </c>
      <c r="L23" s="492">
        <f>'Qtrly''s-Cntsht Book'!S184</f>
        <v>756.16</v>
      </c>
      <c r="M23" s="492">
        <f>'Qtrly''s-Cntsht Book'!T184</f>
        <v>771.93</v>
      </c>
      <c r="N23" s="487">
        <f>SUM(B23:M23)/12</f>
        <v>759.16250000000002</v>
      </c>
      <c r="O23" s="488">
        <f>'Qtrly''s-Cntsht Book'!X184</f>
        <v>277094.3125</v>
      </c>
    </row>
    <row r="24" spans="1:15" ht="15.75" thickBot="1" x14ac:dyDescent="0.3"/>
    <row r="25" spans="1:15" ht="31.5" customHeight="1" thickBot="1" x14ac:dyDescent="0.3">
      <c r="A25" s="482" t="s">
        <v>227</v>
      </c>
      <c r="B25" s="1067" t="s">
        <v>435</v>
      </c>
      <c r="C25" s="1072"/>
      <c r="D25" s="1072"/>
      <c r="E25" s="1072"/>
      <c r="F25" s="1072"/>
      <c r="G25" s="1072"/>
      <c r="H25" s="1072"/>
      <c r="I25" s="1072"/>
      <c r="J25" s="1072"/>
      <c r="K25" s="1072"/>
      <c r="L25" s="1072"/>
      <c r="M25" s="1073"/>
      <c r="N25" s="1064" t="s">
        <v>266</v>
      </c>
      <c r="O25" s="1066" t="s">
        <v>267</v>
      </c>
    </row>
    <row r="26" spans="1:15" ht="15.75" thickBot="1" x14ac:dyDescent="0.3">
      <c r="A26" s="483"/>
      <c r="B26" s="484">
        <v>40733</v>
      </c>
      <c r="C26" s="484">
        <v>40764</v>
      </c>
      <c r="D26" s="484">
        <v>40795</v>
      </c>
      <c r="E26" s="484">
        <v>40825</v>
      </c>
      <c r="F26" s="484">
        <v>40856</v>
      </c>
      <c r="G26" s="484">
        <v>40886</v>
      </c>
      <c r="H26" s="484">
        <v>40917</v>
      </c>
      <c r="I26" s="484">
        <v>40948</v>
      </c>
      <c r="J26" s="484">
        <v>40977</v>
      </c>
      <c r="K26" s="484">
        <v>41008</v>
      </c>
      <c r="L26" s="484">
        <v>41038</v>
      </c>
      <c r="M26" s="484">
        <v>41069</v>
      </c>
      <c r="N26" s="1070"/>
      <c r="O26" s="1071"/>
    </row>
    <row r="27" spans="1:15" x14ac:dyDescent="0.25">
      <c r="A27" s="478" t="s">
        <v>265</v>
      </c>
      <c r="B27" s="492">
        <f>'Qtrly''s-Cntsht Book'!C216</f>
        <v>740</v>
      </c>
      <c r="C27" s="492">
        <f>'Qtrly''s-Cntsht Book'!D216</f>
        <v>749.84</v>
      </c>
      <c r="D27" s="492">
        <f>'Qtrly''s-Cntsht Book'!E216</f>
        <v>737.57</v>
      </c>
      <c r="E27" s="492">
        <f>'Qtrly''s-Cntsht Book'!H216</f>
        <v>743</v>
      </c>
      <c r="F27" s="492">
        <f>'Qtrly''s-Cntsht Book'!I216</f>
        <v>733.03</v>
      </c>
      <c r="G27" s="492">
        <f>'Qtrly''s-Cntsht Book'!J216</f>
        <v>738</v>
      </c>
      <c r="H27" s="492">
        <f>'Qtrly''s-Cntsht Book'!M216</f>
        <v>727.32</v>
      </c>
      <c r="I27" s="492">
        <f>'Qtrly''s-Cntsht Book'!N216</f>
        <v>744.34</v>
      </c>
      <c r="J27" s="492">
        <f>'Qtrly''s-Cntsht Book'!O216</f>
        <v>748.45</v>
      </c>
      <c r="K27" s="492">
        <f>'Qtrly''s-Cntsht Book'!R216</f>
        <v>744.97</v>
      </c>
      <c r="L27" s="492">
        <f>'Qtrly''s-Cntsht Book'!S216</f>
        <v>744.97</v>
      </c>
      <c r="M27" s="492">
        <f>'Qtrly''s-Cntsht Book'!T216</f>
        <v>740.87</v>
      </c>
      <c r="N27" s="487">
        <f>SUM(B27:M27)/12</f>
        <v>741.03000000000009</v>
      </c>
      <c r="O27" s="488">
        <f>'Qtrly''s-Cntsht Book'!X216</f>
        <v>271216.98000000004</v>
      </c>
    </row>
    <row r="28" spans="1:15" ht="19.149999999999999" customHeight="1" thickBot="1" x14ac:dyDescent="0.3">
      <c r="A28" s="489"/>
      <c r="B28" s="490"/>
      <c r="C28" s="490"/>
      <c r="D28" s="490"/>
      <c r="E28" s="490"/>
      <c r="F28" s="490"/>
      <c r="G28" s="490"/>
      <c r="H28" s="490"/>
      <c r="I28" s="490"/>
      <c r="J28" s="490"/>
      <c r="K28" s="490"/>
      <c r="L28" s="490"/>
      <c r="M28" s="490"/>
      <c r="N28" s="498"/>
      <c r="O28" s="499"/>
    </row>
    <row r="29" spans="1:15" ht="31.5" hidden="1" customHeight="1" thickBot="1" x14ac:dyDescent="0.3">
      <c r="A29" s="1066" t="s">
        <v>227</v>
      </c>
      <c r="B29" s="1075" t="s">
        <v>517</v>
      </c>
      <c r="C29" s="1076"/>
      <c r="D29" s="1076"/>
      <c r="E29" s="1076"/>
      <c r="F29" s="1076"/>
      <c r="G29" s="1076"/>
      <c r="H29" s="1076"/>
      <c r="I29" s="1076"/>
      <c r="J29" s="1076"/>
      <c r="K29" s="1076"/>
      <c r="L29" s="1076"/>
      <c r="M29" s="1077"/>
      <c r="N29" s="1064" t="s">
        <v>266</v>
      </c>
      <c r="O29" s="1066" t="s">
        <v>268</v>
      </c>
    </row>
    <row r="30" spans="1:15" ht="15.75" hidden="1" thickBot="1" x14ac:dyDescent="0.3">
      <c r="A30" s="1074"/>
      <c r="B30" s="484">
        <v>37438</v>
      </c>
      <c r="C30" s="485">
        <v>37469</v>
      </c>
      <c r="D30" s="485">
        <v>37500</v>
      </c>
      <c r="E30" s="485">
        <v>37530</v>
      </c>
      <c r="F30" s="485">
        <v>37561</v>
      </c>
      <c r="G30" s="485">
        <v>37591</v>
      </c>
      <c r="H30" s="485">
        <v>37624</v>
      </c>
      <c r="I30" s="485">
        <v>37655</v>
      </c>
      <c r="J30" s="485">
        <v>37683</v>
      </c>
      <c r="K30" s="485">
        <v>37714</v>
      </c>
      <c r="L30" s="485">
        <v>37744</v>
      </c>
      <c r="M30" s="486">
        <v>37775</v>
      </c>
      <c r="N30" s="1070"/>
      <c r="O30" s="1071"/>
    </row>
    <row r="31" spans="1:15" hidden="1" x14ac:dyDescent="0.25">
      <c r="A31" s="478" t="s">
        <v>265</v>
      </c>
      <c r="B31" s="492">
        <v>686</v>
      </c>
      <c r="C31" s="492">
        <v>686</v>
      </c>
      <c r="D31" s="492">
        <v>603</v>
      </c>
      <c r="E31" s="492">
        <v>700</v>
      </c>
      <c r="F31" s="492">
        <v>705</v>
      </c>
      <c r="G31" s="492">
        <v>686</v>
      </c>
      <c r="H31" s="492">
        <v>709</v>
      </c>
      <c r="I31" s="492">
        <v>709</v>
      </c>
      <c r="J31" s="492">
        <v>704</v>
      </c>
      <c r="K31" s="492">
        <v>688</v>
      </c>
      <c r="L31" s="492">
        <v>690</v>
      </c>
      <c r="M31" s="493">
        <v>688</v>
      </c>
      <c r="N31" s="494">
        <f>SUM(B31:M31)/12</f>
        <v>687.83333333333337</v>
      </c>
      <c r="O31" s="488">
        <f>'Qtrly''s-Cntsht Book'!$X$489</f>
        <v>251120</v>
      </c>
    </row>
    <row r="32" spans="1:15" ht="12.75" hidden="1" customHeight="1" thickBot="1" x14ac:dyDescent="0.3"/>
    <row r="33" spans="1:15" ht="31.5" hidden="1" customHeight="1" thickBot="1" x14ac:dyDescent="0.3">
      <c r="A33" s="1066" t="s">
        <v>227</v>
      </c>
      <c r="B33" s="1067" t="s">
        <v>519</v>
      </c>
      <c r="C33" s="1068"/>
      <c r="D33" s="1068"/>
      <c r="E33" s="1068"/>
      <c r="F33" s="1068"/>
      <c r="G33" s="1068"/>
      <c r="H33" s="1068"/>
      <c r="I33" s="1068"/>
      <c r="J33" s="1068"/>
      <c r="K33" s="1068"/>
      <c r="L33" s="1068"/>
      <c r="M33" s="1069"/>
      <c r="N33" s="1064" t="s">
        <v>266</v>
      </c>
      <c r="O33" s="1066" t="s">
        <v>269</v>
      </c>
    </row>
    <row r="34" spans="1:15" ht="15.75" hidden="1" thickBot="1" x14ac:dyDescent="0.3">
      <c r="A34" s="1074"/>
      <c r="B34" s="484">
        <v>37073</v>
      </c>
      <c r="C34" s="485">
        <v>37104</v>
      </c>
      <c r="D34" s="485">
        <v>37135</v>
      </c>
      <c r="E34" s="485">
        <v>37165</v>
      </c>
      <c r="F34" s="485">
        <v>37196</v>
      </c>
      <c r="G34" s="485">
        <v>37226</v>
      </c>
      <c r="H34" s="485">
        <v>37258</v>
      </c>
      <c r="I34" s="485">
        <v>37289</v>
      </c>
      <c r="J34" s="485">
        <v>37317</v>
      </c>
      <c r="K34" s="485">
        <v>37348</v>
      </c>
      <c r="L34" s="485">
        <v>37378</v>
      </c>
      <c r="M34" s="486">
        <v>37409</v>
      </c>
      <c r="N34" s="1070"/>
      <c r="O34" s="1071"/>
    </row>
    <row r="35" spans="1:15" hidden="1" x14ac:dyDescent="0.25">
      <c r="A35" s="478" t="s">
        <v>265</v>
      </c>
      <c r="B35" s="492">
        <v>680</v>
      </c>
      <c r="C35" s="492">
        <v>686</v>
      </c>
      <c r="D35" s="492">
        <v>693</v>
      </c>
      <c r="E35" s="492">
        <v>706</v>
      </c>
      <c r="F35" s="492">
        <v>703</v>
      </c>
      <c r="G35" s="492">
        <v>675</v>
      </c>
      <c r="H35" s="492">
        <v>669</v>
      </c>
      <c r="I35" s="492">
        <v>682</v>
      </c>
      <c r="J35" s="492">
        <v>693</v>
      </c>
      <c r="K35" s="492">
        <v>686</v>
      </c>
      <c r="L35" s="492">
        <v>707</v>
      </c>
      <c r="M35" s="493">
        <v>698</v>
      </c>
      <c r="N35" s="494">
        <f>SUM(B35:M35)/12</f>
        <v>689.83333333333337</v>
      </c>
      <c r="O35" s="488">
        <f>N35*365</f>
        <v>251789.16666666669</v>
      </c>
    </row>
    <row r="36" spans="1:15" ht="12.75" hidden="1" customHeight="1" thickBot="1" x14ac:dyDescent="0.3">
      <c r="A36" s="489"/>
      <c r="B36" s="490"/>
      <c r="C36" s="490"/>
      <c r="D36" s="490"/>
      <c r="E36" s="490"/>
      <c r="F36" s="490"/>
      <c r="G36" s="490"/>
      <c r="H36" s="490"/>
      <c r="I36" s="490"/>
      <c r="J36" s="490"/>
      <c r="K36" s="490"/>
      <c r="L36" s="490"/>
      <c r="M36" s="490"/>
      <c r="N36" s="490"/>
      <c r="O36" s="491"/>
    </row>
    <row r="37" spans="1:15" ht="31.5" hidden="1" customHeight="1" thickBot="1" x14ac:dyDescent="0.3">
      <c r="A37" s="1066" t="s">
        <v>227</v>
      </c>
      <c r="B37" s="1075" t="s">
        <v>518</v>
      </c>
      <c r="C37" s="1076"/>
      <c r="D37" s="1076"/>
      <c r="E37" s="1076"/>
      <c r="F37" s="1076"/>
      <c r="G37" s="1076"/>
      <c r="H37" s="1076"/>
      <c r="I37" s="1076"/>
      <c r="J37" s="1076"/>
      <c r="K37" s="1076"/>
      <c r="L37" s="1076"/>
      <c r="M37" s="1077"/>
      <c r="N37" s="1064" t="s">
        <v>266</v>
      </c>
      <c r="O37" s="1066" t="s">
        <v>270</v>
      </c>
    </row>
    <row r="38" spans="1:15" ht="15.75" hidden="1" thickBot="1" x14ac:dyDescent="0.3">
      <c r="A38" s="1074"/>
      <c r="B38" s="484">
        <v>36708</v>
      </c>
      <c r="C38" s="485">
        <v>36739</v>
      </c>
      <c r="D38" s="485">
        <v>36770</v>
      </c>
      <c r="E38" s="485">
        <v>36800</v>
      </c>
      <c r="F38" s="485">
        <v>36831</v>
      </c>
      <c r="G38" s="485">
        <v>36861</v>
      </c>
      <c r="H38" s="485">
        <v>36892</v>
      </c>
      <c r="I38" s="485">
        <v>36923</v>
      </c>
      <c r="J38" s="485">
        <v>36951</v>
      </c>
      <c r="K38" s="485">
        <v>36982</v>
      </c>
      <c r="L38" s="485">
        <v>37012</v>
      </c>
      <c r="M38" s="486">
        <v>37043</v>
      </c>
      <c r="N38" s="1070"/>
      <c r="O38" s="1071"/>
    </row>
    <row r="39" spans="1:15" hidden="1" x14ac:dyDescent="0.25">
      <c r="A39" s="478" t="s">
        <v>265</v>
      </c>
      <c r="B39" s="492">
        <v>639</v>
      </c>
      <c r="C39" s="492">
        <v>633</v>
      </c>
      <c r="D39" s="492">
        <v>660</v>
      </c>
      <c r="E39" s="492">
        <v>675</v>
      </c>
      <c r="F39" s="492">
        <v>683</v>
      </c>
      <c r="G39" s="492">
        <v>653</v>
      </c>
      <c r="H39" s="492">
        <v>669</v>
      </c>
      <c r="I39" s="492">
        <v>675</v>
      </c>
      <c r="J39" s="492">
        <v>643</v>
      </c>
      <c r="K39" s="492">
        <v>669</v>
      </c>
      <c r="L39" s="492">
        <v>679</v>
      </c>
      <c r="M39" s="493">
        <v>662</v>
      </c>
      <c r="N39" s="494">
        <f>SUM(B39:M39)/12</f>
        <v>661.66666666666663</v>
      </c>
      <c r="O39" s="488">
        <f>N39*365</f>
        <v>241508.33333333331</v>
      </c>
    </row>
    <row r="40" spans="1:15" ht="12.75" hidden="1" customHeight="1" x14ac:dyDescent="0.25"/>
    <row r="41" spans="1:15" ht="31.5" hidden="1" customHeight="1" thickBot="1" x14ac:dyDescent="0.3">
      <c r="A41" s="1066" t="s">
        <v>227</v>
      </c>
      <c r="B41" s="1067" t="s">
        <v>520</v>
      </c>
      <c r="C41" s="1068"/>
      <c r="D41" s="1068"/>
      <c r="E41" s="1068"/>
      <c r="F41" s="1068"/>
      <c r="G41" s="1068"/>
      <c r="H41" s="1068"/>
      <c r="I41" s="1068"/>
      <c r="J41" s="1068"/>
      <c r="K41" s="1068"/>
      <c r="L41" s="1068"/>
      <c r="M41" s="1069"/>
      <c r="N41" s="1064" t="s">
        <v>271</v>
      </c>
      <c r="O41" s="1066" t="s">
        <v>272</v>
      </c>
    </row>
    <row r="42" spans="1:15" ht="15.75" hidden="1" thickBot="1" x14ac:dyDescent="0.3">
      <c r="A42" s="1074"/>
      <c r="B42" s="484">
        <v>36342</v>
      </c>
      <c r="C42" s="485">
        <v>36373</v>
      </c>
      <c r="D42" s="485">
        <v>36404</v>
      </c>
      <c r="E42" s="485">
        <v>36434</v>
      </c>
      <c r="F42" s="485">
        <v>36465</v>
      </c>
      <c r="G42" s="485">
        <v>36495</v>
      </c>
      <c r="H42" s="485">
        <v>36526</v>
      </c>
      <c r="I42" s="485">
        <v>36557</v>
      </c>
      <c r="J42" s="485">
        <v>36586</v>
      </c>
      <c r="K42" s="485">
        <v>36617</v>
      </c>
      <c r="L42" s="485">
        <v>36647</v>
      </c>
      <c r="M42" s="486">
        <v>36678</v>
      </c>
      <c r="N42" s="1070"/>
      <c r="O42" s="1071"/>
    </row>
    <row r="43" spans="1:15" hidden="1" x14ac:dyDescent="0.25">
      <c r="A43" s="478" t="s">
        <v>265</v>
      </c>
      <c r="B43" s="492">
        <v>618</v>
      </c>
      <c r="C43" s="492">
        <v>629</v>
      </c>
      <c r="D43" s="492">
        <v>677</v>
      </c>
      <c r="E43" s="492">
        <v>684</v>
      </c>
      <c r="F43" s="492">
        <v>683</v>
      </c>
      <c r="G43" s="492">
        <v>635</v>
      </c>
      <c r="H43" s="492">
        <v>630</v>
      </c>
      <c r="I43" s="492">
        <v>663</v>
      </c>
      <c r="J43" s="492">
        <v>669</v>
      </c>
      <c r="K43" s="492">
        <v>684</v>
      </c>
      <c r="L43" s="492">
        <v>662</v>
      </c>
      <c r="M43" s="493">
        <v>645</v>
      </c>
      <c r="N43" s="494">
        <f>SUM(B43:M43)/12</f>
        <v>656.58333333333337</v>
      </c>
      <c r="O43" s="488">
        <v>239653</v>
      </c>
    </row>
    <row r="44" spans="1:15" ht="12.75" hidden="1" customHeight="1" thickBot="1" x14ac:dyDescent="0.3">
      <c r="A44" s="489"/>
      <c r="B44" s="490"/>
      <c r="C44" s="490"/>
      <c r="D44" s="490"/>
      <c r="E44" s="490"/>
      <c r="F44" s="490"/>
      <c r="G44" s="490"/>
      <c r="H44" s="490"/>
      <c r="I44" s="490"/>
      <c r="J44" s="490"/>
      <c r="K44" s="490"/>
      <c r="L44" s="490"/>
      <c r="M44" s="490"/>
      <c r="N44" s="490"/>
      <c r="O44" s="491"/>
    </row>
    <row r="45" spans="1:15" ht="31.5" hidden="1" customHeight="1" thickBot="1" x14ac:dyDescent="0.3">
      <c r="A45" s="1066" t="s">
        <v>227</v>
      </c>
      <c r="B45" s="1078" t="s">
        <v>521</v>
      </c>
      <c r="C45" s="1079"/>
      <c r="D45" s="1079"/>
      <c r="E45" s="1079"/>
      <c r="F45" s="1079"/>
      <c r="G45" s="1079"/>
      <c r="H45" s="1079"/>
      <c r="I45" s="1079"/>
      <c r="J45" s="1079"/>
      <c r="K45" s="1079"/>
      <c r="L45" s="1079"/>
      <c r="M45" s="1080"/>
      <c r="N45" s="1064" t="s">
        <v>143</v>
      </c>
      <c r="O45" s="1066" t="s">
        <v>273</v>
      </c>
    </row>
    <row r="46" spans="1:15" ht="15.75" hidden="1" thickBot="1" x14ac:dyDescent="0.3">
      <c r="A46" s="1074"/>
      <c r="B46" s="484">
        <v>35977</v>
      </c>
      <c r="C46" s="485">
        <v>36008</v>
      </c>
      <c r="D46" s="485">
        <v>36039</v>
      </c>
      <c r="E46" s="485">
        <v>36069</v>
      </c>
      <c r="F46" s="485">
        <v>36100</v>
      </c>
      <c r="G46" s="485">
        <v>36130</v>
      </c>
      <c r="H46" s="485">
        <v>36161</v>
      </c>
      <c r="I46" s="485">
        <v>36192</v>
      </c>
      <c r="J46" s="485">
        <v>36220</v>
      </c>
      <c r="K46" s="485">
        <v>36251</v>
      </c>
      <c r="L46" s="485">
        <v>36281</v>
      </c>
      <c r="M46" s="486">
        <v>36312</v>
      </c>
      <c r="N46" s="1070"/>
      <c r="O46" s="1071"/>
    </row>
    <row r="47" spans="1:15" hidden="1" x14ac:dyDescent="0.25">
      <c r="A47" s="478" t="s">
        <v>265</v>
      </c>
      <c r="B47" s="492">
        <v>670</v>
      </c>
      <c r="C47" s="492">
        <v>626</v>
      </c>
      <c r="D47" s="492">
        <v>674</v>
      </c>
      <c r="E47" s="492">
        <v>634</v>
      </c>
      <c r="F47" s="492">
        <v>627</v>
      </c>
      <c r="G47" s="492">
        <v>625</v>
      </c>
      <c r="H47" s="492">
        <v>647</v>
      </c>
      <c r="I47" s="492">
        <v>657</v>
      </c>
      <c r="J47" s="492">
        <v>644</v>
      </c>
      <c r="K47" s="492">
        <v>658</v>
      </c>
      <c r="L47" s="492">
        <v>660</v>
      </c>
      <c r="M47" s="493">
        <v>617</v>
      </c>
      <c r="N47" s="494">
        <f>SUM(B47:M47)/12</f>
        <v>644.91666666666663</v>
      </c>
      <c r="O47" s="488">
        <f>N47*365</f>
        <v>235394.58333333331</v>
      </c>
    </row>
    <row r="48" spans="1:15" ht="12.75" hidden="1" customHeight="1" thickBot="1" x14ac:dyDescent="0.3"/>
    <row r="49" spans="1:15" ht="31.5" hidden="1" customHeight="1" thickBot="1" x14ac:dyDescent="0.3">
      <c r="A49" s="1066" t="s">
        <v>227</v>
      </c>
      <c r="B49" s="1067" t="s">
        <v>522</v>
      </c>
      <c r="C49" s="1068"/>
      <c r="D49" s="1068"/>
      <c r="E49" s="1068"/>
      <c r="F49" s="1068"/>
      <c r="G49" s="1068"/>
      <c r="H49" s="1068"/>
      <c r="I49" s="1068"/>
      <c r="J49" s="1068"/>
      <c r="K49" s="1068"/>
      <c r="L49" s="1068"/>
      <c r="M49" s="1069"/>
      <c r="N49" s="1064" t="s">
        <v>143</v>
      </c>
      <c r="O49" s="1066" t="s">
        <v>273</v>
      </c>
    </row>
    <row r="50" spans="1:15" ht="15.75" hidden="1" thickBot="1" x14ac:dyDescent="0.3">
      <c r="A50" s="1074"/>
      <c r="B50" s="484">
        <v>35612</v>
      </c>
      <c r="C50" s="485">
        <v>35643</v>
      </c>
      <c r="D50" s="485">
        <v>35674</v>
      </c>
      <c r="E50" s="485">
        <v>35704</v>
      </c>
      <c r="F50" s="485">
        <v>35735</v>
      </c>
      <c r="G50" s="485">
        <v>35765</v>
      </c>
      <c r="H50" s="485">
        <v>35796</v>
      </c>
      <c r="I50" s="485">
        <v>35827</v>
      </c>
      <c r="J50" s="485">
        <v>35855</v>
      </c>
      <c r="K50" s="485">
        <v>35886</v>
      </c>
      <c r="L50" s="485">
        <v>35916</v>
      </c>
      <c r="M50" s="486">
        <v>35947</v>
      </c>
      <c r="N50" s="1070"/>
      <c r="O50" s="1071"/>
    </row>
  </sheetData>
  <mergeCells count="45">
    <mergeCell ref="B1:M1"/>
    <mergeCell ref="N1:N2"/>
    <mergeCell ref="O1:O2"/>
    <mergeCell ref="O49:O50"/>
    <mergeCell ref="B45:M45"/>
    <mergeCell ref="O37:O38"/>
    <mergeCell ref="N41:N42"/>
    <mergeCell ref="O41:O42"/>
    <mergeCell ref="O45:O46"/>
    <mergeCell ref="O29:O30"/>
    <mergeCell ref="O33:O34"/>
    <mergeCell ref="N29:N30"/>
    <mergeCell ref="B17:M17"/>
    <mergeCell ref="N17:N18"/>
    <mergeCell ref="O17:O18"/>
    <mergeCell ref="B21:M21"/>
    <mergeCell ref="A33:A34"/>
    <mergeCell ref="B33:M33"/>
    <mergeCell ref="N33:N34"/>
    <mergeCell ref="A29:A30"/>
    <mergeCell ref="B29:M29"/>
    <mergeCell ref="A49:A50"/>
    <mergeCell ref="B49:M49"/>
    <mergeCell ref="N49:N50"/>
    <mergeCell ref="B37:M37"/>
    <mergeCell ref="N37:N38"/>
    <mergeCell ref="N45:N46"/>
    <mergeCell ref="A37:A38"/>
    <mergeCell ref="A45:A46"/>
    <mergeCell ref="A41:A42"/>
    <mergeCell ref="B41:M41"/>
    <mergeCell ref="N21:N22"/>
    <mergeCell ref="O21:O22"/>
    <mergeCell ref="N25:N26"/>
    <mergeCell ref="O25:O26"/>
    <mergeCell ref="B25:M25"/>
    <mergeCell ref="B5:M5"/>
    <mergeCell ref="N5:N6"/>
    <mergeCell ref="O5:O6"/>
    <mergeCell ref="O9:O10"/>
    <mergeCell ref="B13:M13"/>
    <mergeCell ref="N13:N14"/>
    <mergeCell ref="O13:O14"/>
    <mergeCell ref="B9:M9"/>
    <mergeCell ref="N9:N10"/>
  </mergeCells>
  <phoneticPr fontId="21" type="noConversion"/>
  <printOptions horizontalCentered="1"/>
  <pageMargins left="0" right="0" top="1.25" bottom="0.75" header="0.3" footer="0.3"/>
  <pageSetup scale="89" fitToHeight="0" orientation="landscape" r:id="rId1"/>
  <headerFooter alignWithMargins="0">
    <oddHeader>&amp;C&amp;"Arial,Bold"&amp;12DEPARTMENT OF CORRECTIONS
 COST OF CARE Year 2019
(Based on Fiscal Year 2018 Actuals)</oddHeader>
    <oddFooter>&amp;L&amp;8&amp;F &amp;A&amp;R&amp;8&amp;D &amp;T</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BA42"/>
  <sheetViews>
    <sheetView showGridLines="0" zoomScaleNormal="100" workbookViewId="0">
      <pane xSplit="23" ySplit="1" topLeftCell="X2" activePane="bottomRight" state="frozen"/>
      <selection activeCell="B17" sqref="B17:M17"/>
      <selection pane="topRight" activeCell="B17" sqref="B17:M17"/>
      <selection pane="bottomLeft" activeCell="B17" sqref="B17:M17"/>
      <selection pane="bottomRight" activeCell="A19" sqref="A19"/>
    </sheetView>
  </sheetViews>
  <sheetFormatPr defaultRowHeight="12.75" x14ac:dyDescent="0.2"/>
  <cols>
    <col min="1" max="1" width="18.85546875" customWidth="1"/>
    <col min="2" max="2" width="14.85546875" hidden="1" customWidth="1"/>
    <col min="3" max="4" width="0" hidden="1" customWidth="1"/>
    <col min="5" max="5" width="3.5703125" hidden="1" customWidth="1"/>
    <col min="6" max="6" width="14.85546875" hidden="1" customWidth="1"/>
    <col min="7" max="7" width="0" hidden="1" customWidth="1"/>
    <col min="8" max="8" width="9.7109375" hidden="1" customWidth="1"/>
    <col min="9" max="9" width="15.28515625" hidden="1" customWidth="1"/>
    <col min="10" max="11" width="0" hidden="1" customWidth="1"/>
    <col min="12" max="12" width="16" hidden="1" customWidth="1"/>
    <col min="13" max="14" width="0" hidden="1" customWidth="1"/>
    <col min="15" max="15" width="16" hidden="1" customWidth="1"/>
    <col min="16" max="17" width="0" hidden="1" customWidth="1"/>
    <col min="18" max="18" width="16" hidden="1" customWidth="1"/>
    <col min="19" max="20" width="0" hidden="1" customWidth="1"/>
    <col min="21" max="21" width="16" hidden="1" customWidth="1"/>
    <col min="22" max="23" width="0" hidden="1" customWidth="1"/>
    <col min="24" max="24" width="16" hidden="1" customWidth="1"/>
    <col min="25" max="26" width="0" hidden="1" customWidth="1"/>
    <col min="27" max="27" width="16.42578125" hidden="1" customWidth="1"/>
    <col min="28" max="29" width="0" hidden="1" customWidth="1"/>
    <col min="30" max="30" width="16.42578125" hidden="1" customWidth="1"/>
    <col min="31" max="31" width="9.7109375" hidden="1" customWidth="1"/>
    <col min="32" max="32" width="0" hidden="1" customWidth="1"/>
    <col min="33" max="33" width="15.28515625" hidden="1" customWidth="1"/>
    <col min="34" max="34" width="11.85546875" hidden="1" customWidth="1"/>
    <col min="35" max="35" width="0" hidden="1" customWidth="1"/>
    <col min="36" max="36" width="15.7109375" hidden="1" customWidth="1"/>
    <col min="37" max="37" width="9.7109375" hidden="1" customWidth="1"/>
    <col min="38" max="38" width="0" hidden="1" customWidth="1"/>
    <col min="39" max="39" width="16.7109375" hidden="1" customWidth="1"/>
    <col min="40" max="40" width="9.7109375" hidden="1" customWidth="1"/>
    <col min="41" max="41" width="10.28515625" hidden="1" customWidth="1"/>
    <col min="42" max="42" width="16.7109375" customWidth="1"/>
    <col min="43" max="43" width="9.7109375" bestFit="1" customWidth="1"/>
    <col min="44" max="44" width="10.28515625" customWidth="1"/>
    <col min="45" max="45" width="16.7109375" customWidth="1"/>
    <col min="46" max="47" width="11.28515625" customWidth="1"/>
    <col min="48" max="48" width="16.7109375" customWidth="1"/>
    <col min="49" max="49" width="10.7109375" customWidth="1"/>
    <col min="50" max="50" width="10.28515625" customWidth="1"/>
    <col min="51" max="51" width="16.7109375" customWidth="1"/>
    <col min="52" max="52" width="10.7109375" customWidth="1"/>
    <col min="53" max="53" width="10.28515625" customWidth="1"/>
  </cols>
  <sheetData>
    <row r="1" spans="1:53" ht="14.25" thickTop="1" thickBot="1" x14ac:dyDescent="0.25">
      <c r="A1" s="141" t="s">
        <v>55</v>
      </c>
      <c r="B1" s="151" t="s">
        <v>340</v>
      </c>
      <c r="C1" s="2" t="s">
        <v>96</v>
      </c>
      <c r="D1" s="2" t="s">
        <v>26</v>
      </c>
      <c r="E1" s="31"/>
      <c r="F1" s="151" t="s">
        <v>341</v>
      </c>
      <c r="G1" s="2" t="s">
        <v>96</v>
      </c>
      <c r="H1" s="2" t="s">
        <v>26</v>
      </c>
      <c r="I1" s="151" t="s">
        <v>342</v>
      </c>
      <c r="J1" s="2" t="s">
        <v>96</v>
      </c>
      <c r="K1" s="2" t="s">
        <v>26</v>
      </c>
      <c r="L1" s="151" t="s">
        <v>343</v>
      </c>
      <c r="M1" s="2" t="s">
        <v>96</v>
      </c>
      <c r="N1" s="2" t="s">
        <v>26</v>
      </c>
      <c r="O1" s="151" t="s">
        <v>344</v>
      </c>
      <c r="P1" s="2" t="s">
        <v>96</v>
      </c>
      <c r="Q1" s="2" t="s">
        <v>26</v>
      </c>
      <c r="R1" s="151" t="s">
        <v>345</v>
      </c>
      <c r="S1" s="2" t="s">
        <v>96</v>
      </c>
      <c r="T1" s="2" t="s">
        <v>26</v>
      </c>
      <c r="U1" s="151" t="s">
        <v>346</v>
      </c>
      <c r="V1" s="2" t="s">
        <v>96</v>
      </c>
      <c r="W1" s="141" t="s">
        <v>26</v>
      </c>
      <c r="X1" s="152" t="s">
        <v>347</v>
      </c>
      <c r="Y1" s="145" t="s">
        <v>96</v>
      </c>
      <c r="Z1" s="523" t="s">
        <v>26</v>
      </c>
      <c r="AA1" s="151" t="s">
        <v>348</v>
      </c>
      <c r="AB1" s="2" t="s">
        <v>96</v>
      </c>
      <c r="AC1" s="2" t="s">
        <v>26</v>
      </c>
      <c r="AD1" s="153" t="s">
        <v>349</v>
      </c>
      <c r="AE1" s="2" t="s">
        <v>96</v>
      </c>
      <c r="AF1" s="2" t="s">
        <v>26</v>
      </c>
      <c r="AG1" s="153" t="s">
        <v>350</v>
      </c>
      <c r="AH1" s="2" t="s">
        <v>96</v>
      </c>
      <c r="AI1" s="2" t="s">
        <v>26</v>
      </c>
      <c r="AJ1" s="526" t="s">
        <v>459</v>
      </c>
      <c r="AK1" s="2" t="s">
        <v>96</v>
      </c>
      <c r="AL1" s="2" t="s">
        <v>26</v>
      </c>
      <c r="AM1" s="526" t="s">
        <v>525</v>
      </c>
      <c r="AN1" s="2" t="s">
        <v>96</v>
      </c>
      <c r="AO1" s="2" t="s">
        <v>26</v>
      </c>
      <c r="AP1" s="153" t="s">
        <v>548</v>
      </c>
      <c r="AQ1" s="2" t="s">
        <v>96</v>
      </c>
      <c r="AR1" s="2" t="s">
        <v>26</v>
      </c>
      <c r="AS1" s="153" t="s">
        <v>815</v>
      </c>
      <c r="AT1" s="963" t="s">
        <v>96</v>
      </c>
      <c r="AU1" s="963" t="s">
        <v>26</v>
      </c>
      <c r="AV1" s="964" t="s">
        <v>816</v>
      </c>
      <c r="AW1" s="963" t="s">
        <v>96</v>
      </c>
      <c r="AX1" s="963" t="s">
        <v>26</v>
      </c>
      <c r="AY1" s="887" t="s">
        <v>822</v>
      </c>
      <c r="AZ1" s="2" t="s">
        <v>96</v>
      </c>
      <c r="BA1" s="2" t="s">
        <v>26</v>
      </c>
    </row>
    <row r="2" spans="1:53" ht="14.25" thickTop="1" thickBot="1" x14ac:dyDescent="0.25">
      <c r="A2" s="1" t="s">
        <v>228</v>
      </c>
      <c r="B2" s="28">
        <v>4207448.53</v>
      </c>
      <c r="C2" s="29">
        <v>26754.5</v>
      </c>
      <c r="D2" s="30">
        <v>193.50880347742341</v>
      </c>
      <c r="E2" s="17"/>
      <c r="F2" s="28">
        <v>10007491.050000001</v>
      </c>
      <c r="G2" s="29">
        <v>144625.56208333332</v>
      </c>
      <c r="H2" s="30">
        <v>106.85322352658358</v>
      </c>
      <c r="I2" s="28">
        <v>10007491.050000001</v>
      </c>
      <c r="J2" s="29">
        <v>144540</v>
      </c>
      <c r="K2" s="30">
        <v>105.90031510045782</v>
      </c>
      <c r="L2" s="28">
        <v>19164084.239999998</v>
      </c>
      <c r="M2" s="29">
        <v>297558</v>
      </c>
      <c r="N2" s="30">
        <v>99.915961578315503</v>
      </c>
      <c r="O2" s="28">
        <v>19934908.759999998</v>
      </c>
      <c r="P2" s="29">
        <v>305007.3833333333</v>
      </c>
      <c r="Q2" s="30">
        <v>95.644881509254517</v>
      </c>
      <c r="R2" s="28">
        <v>22246649.32</v>
      </c>
      <c r="S2" s="29">
        <v>318750.84999999998</v>
      </c>
      <c r="T2" s="30">
        <v>111.08690690417147</v>
      </c>
      <c r="U2" s="28">
        <v>24224260.27</v>
      </c>
      <c r="V2" s="29">
        <v>353157</v>
      </c>
      <c r="W2" s="144">
        <v>109.64</v>
      </c>
      <c r="X2" s="146">
        <v>24473571.319999997</v>
      </c>
      <c r="Y2" s="29">
        <v>356416</v>
      </c>
      <c r="Z2" s="144">
        <v>109.02</v>
      </c>
      <c r="AA2" s="28">
        <v>24826079.379999999</v>
      </c>
      <c r="AB2" s="29">
        <v>311948</v>
      </c>
      <c r="AC2" s="30">
        <v>79.584031248797871</v>
      </c>
      <c r="AD2" s="157">
        <v>25829994.579999998</v>
      </c>
      <c r="AE2" s="29">
        <f>'Qtrly''s-Cntsht Book'!X259+'Qtrly''s-Cntsht Book'!X261</f>
        <v>330692.43333333335</v>
      </c>
      <c r="AF2" s="30">
        <f>AD2/AE2</f>
        <v>78.108816460168967</v>
      </c>
      <c r="AG2" s="157">
        <v>26198323.199999999</v>
      </c>
      <c r="AH2" s="29">
        <f>'Qtrly''s-Cntsht Book'!X229+'Qtrly''s-Cntsht Book'!X231</f>
        <v>333964.35416666663</v>
      </c>
      <c r="AI2" s="30">
        <f>AG2/AH2</f>
        <v>78.446465537832793</v>
      </c>
      <c r="AJ2" s="157">
        <v>28150656.219999999</v>
      </c>
      <c r="AK2" s="29">
        <f>'Qtrly''s-Cntsht Book'!X200+'Qtrly''s-Cntsht Book'!X202</f>
        <v>331376.40000000002</v>
      </c>
      <c r="AL2" s="561">
        <f>AJ2/AK2</f>
        <v>84.950697213199234</v>
      </c>
      <c r="AM2" s="380">
        <v>29509516.810000002</v>
      </c>
      <c r="AN2" s="459">
        <v>322976.94166666665</v>
      </c>
      <c r="AO2" s="561">
        <f>AM2/AN2</f>
        <v>91.367255686183796</v>
      </c>
      <c r="AP2" s="380">
        <v>29681654.870000001</v>
      </c>
      <c r="AQ2" s="459">
        <v>309788</v>
      </c>
      <c r="AR2" s="561">
        <f>AP2/AQ2</f>
        <v>95.81279736464937</v>
      </c>
      <c r="AS2" s="868">
        <v>30526127.900000002</v>
      </c>
      <c r="AT2" s="966">
        <v>301420.04166666669</v>
      </c>
      <c r="AU2" s="25">
        <f>AS2/AT2</f>
        <v>101.27438020116169</v>
      </c>
      <c r="AV2" s="158">
        <v>31581253.699999999</v>
      </c>
      <c r="AW2" s="969">
        <v>313486</v>
      </c>
      <c r="AX2" s="25">
        <f>AV2/AW2</f>
        <v>100.74215020766478</v>
      </c>
      <c r="AY2" s="28">
        <f>'BILLING RATE CALC'!C27</f>
        <v>32570126</v>
      </c>
      <c r="AZ2" s="967">
        <f>'BILLING RATE CALC'!D27</f>
        <v>310268.25</v>
      </c>
      <c r="BA2" s="968">
        <f>AY2/AZ2</f>
        <v>104.97408613353123</v>
      </c>
    </row>
    <row r="3" spans="1:53" ht="13.5" thickTop="1" x14ac:dyDescent="0.2">
      <c r="A3" s="1" t="s">
        <v>66</v>
      </c>
      <c r="B3" s="20">
        <v>3827124.93</v>
      </c>
      <c r="C3" s="21">
        <v>36429.524583333339</v>
      </c>
      <c r="D3" s="22">
        <v>141.30304577116476</v>
      </c>
      <c r="E3" s="1"/>
      <c r="F3" s="20">
        <v>3827124.93</v>
      </c>
      <c r="G3" s="21">
        <v>38165.586250000008</v>
      </c>
      <c r="H3" s="22">
        <v>137.93421153467364</v>
      </c>
      <c r="I3" s="20">
        <v>4077113.6330000004</v>
      </c>
      <c r="J3" s="21">
        <v>38325</v>
      </c>
      <c r="K3" s="22">
        <v>143.04610031186741</v>
      </c>
      <c r="L3" s="20">
        <v>4022696.32</v>
      </c>
      <c r="M3" s="21">
        <v>39162</v>
      </c>
      <c r="N3" s="22">
        <v>138.23080686379916</v>
      </c>
      <c r="O3" s="20">
        <v>4453361.75</v>
      </c>
      <c r="P3" s="21">
        <v>40348.316666666666</v>
      </c>
      <c r="Q3" s="22">
        <v>140.6590326138257</v>
      </c>
      <c r="R3" s="20">
        <v>4921141.88</v>
      </c>
      <c r="S3" s="21">
        <v>42362.63</v>
      </c>
      <c r="T3" s="22">
        <v>157.46073628350271</v>
      </c>
      <c r="U3" s="20">
        <v>5054874.07</v>
      </c>
      <c r="V3" s="21">
        <v>38831</v>
      </c>
      <c r="W3" s="140">
        <v>171.22</v>
      </c>
      <c r="X3" s="146">
        <v>5023661.03</v>
      </c>
      <c r="Y3" s="21">
        <v>42158</v>
      </c>
      <c r="Z3" s="140">
        <v>159.51</v>
      </c>
      <c r="AA3" s="20">
        <v>5044648.83</v>
      </c>
      <c r="AB3" s="21">
        <v>49993</v>
      </c>
      <c r="AC3" s="30">
        <v>100.90710359450323</v>
      </c>
      <c r="AD3" s="158">
        <v>5649294.0899999999</v>
      </c>
      <c r="AE3" s="21">
        <f>'Qtrly''s-Cntsht Book'!X260</f>
        <v>42563.258333333331</v>
      </c>
      <c r="AF3" s="30">
        <f>AD3/AE3</f>
        <v>132.7270117752185</v>
      </c>
      <c r="AG3" s="158">
        <v>5244350.93</v>
      </c>
      <c r="AH3" s="21">
        <f>'Qtrly''s-Cntsht Book'!X230</f>
        <v>41384.308333333334</v>
      </c>
      <c r="AI3" s="30">
        <f>AG3/AH3</f>
        <v>126.72317458489196</v>
      </c>
      <c r="AJ3" s="158">
        <v>6006266.8099999996</v>
      </c>
      <c r="AK3" s="21">
        <f>'Qtrly''s-Cntsht Book'!X201</f>
        <v>44895.39</v>
      </c>
      <c r="AL3" s="30">
        <f>AJ3/AK3</f>
        <v>133.78359804870834</v>
      </c>
      <c r="AM3" s="380">
        <v>6689614.8499999996</v>
      </c>
      <c r="AN3" s="562">
        <v>44782.458333333328</v>
      </c>
      <c r="AO3" s="561">
        <f>AM3/AN3</f>
        <v>149.38025063757294</v>
      </c>
      <c r="AP3" s="380">
        <v>6383028.1900000004</v>
      </c>
      <c r="AQ3" s="562">
        <v>40920</v>
      </c>
      <c r="AR3" s="30">
        <f>AP3/AQ3</f>
        <v>155.98798118279572</v>
      </c>
      <c r="AS3" s="868">
        <v>6451550.9900000002</v>
      </c>
      <c r="AT3" s="965">
        <v>40615.375</v>
      </c>
      <c r="AU3" s="22">
        <f>AS3/AT3</f>
        <v>158.84504304096663</v>
      </c>
      <c r="AV3" s="157">
        <v>6266794.3200000003</v>
      </c>
      <c r="AW3" s="463">
        <v>37881</v>
      </c>
      <c r="AX3" s="22">
        <f>AV3/AW3</f>
        <v>165.43370871941079</v>
      </c>
      <c r="AY3" s="28">
        <f>'BILLING RATE CALC'!C28</f>
        <v>6919676.3600000003</v>
      </c>
      <c r="AZ3" s="463">
        <f>'BILLING RATE CALC'!D28</f>
        <v>45399.916666666664</v>
      </c>
      <c r="BA3" s="22">
        <f>AY3/AZ3</f>
        <v>152.41605861978456</v>
      </c>
    </row>
    <row r="4" spans="1:53" x14ac:dyDescent="0.2">
      <c r="A4" s="1" t="s">
        <v>99</v>
      </c>
      <c r="B4" s="20">
        <v>9521144.6300000008</v>
      </c>
      <c r="C4" s="21">
        <v>149163.33333333334</v>
      </c>
      <c r="D4" s="22">
        <v>100.0777920657041</v>
      </c>
      <c r="E4" s="1"/>
      <c r="F4" s="20">
        <v>9472493.1300000008</v>
      </c>
      <c r="G4" s="21">
        <v>139848.53333333335</v>
      </c>
      <c r="H4" s="22">
        <v>105.39130417228095</v>
      </c>
      <c r="I4" s="20">
        <v>9472493.1300000008</v>
      </c>
      <c r="J4" s="21">
        <v>139795</v>
      </c>
      <c r="K4" s="22">
        <v>104.42302112962572</v>
      </c>
      <c r="L4" t="s">
        <v>290</v>
      </c>
      <c r="M4" s="21" t="s">
        <v>291</v>
      </c>
      <c r="N4" s="22" t="s">
        <v>239</v>
      </c>
      <c r="O4" s="20" t="s">
        <v>290</v>
      </c>
      <c r="P4" s="21" t="s">
        <v>239</v>
      </c>
      <c r="Q4" s="22" t="s">
        <v>240</v>
      </c>
      <c r="R4" s="20" t="s">
        <v>290</v>
      </c>
      <c r="S4" s="21" t="s">
        <v>239</v>
      </c>
      <c r="T4" s="22" t="s">
        <v>239</v>
      </c>
      <c r="U4" s="20" t="s">
        <v>290</v>
      </c>
      <c r="V4" s="21" t="s">
        <v>239</v>
      </c>
      <c r="W4" s="140" t="s">
        <v>239</v>
      </c>
      <c r="X4" s="147" t="s">
        <v>290</v>
      </c>
      <c r="Y4" s="21" t="s">
        <v>239</v>
      </c>
      <c r="Z4" s="140" t="s">
        <v>239</v>
      </c>
      <c r="AA4" s="20" t="s">
        <v>290</v>
      </c>
      <c r="AB4" s="21" t="s">
        <v>239</v>
      </c>
      <c r="AC4" s="22" t="s">
        <v>239</v>
      </c>
      <c r="AD4" s="578" t="s">
        <v>461</v>
      </c>
      <c r="AE4" s="21" t="s">
        <v>239</v>
      </c>
      <c r="AF4" s="22" t="s">
        <v>239</v>
      </c>
      <c r="AG4" s="158" t="s">
        <v>290</v>
      </c>
      <c r="AH4" s="530" t="s">
        <v>461</v>
      </c>
      <c r="AI4" s="530" t="s">
        <v>461</v>
      </c>
      <c r="AJ4" s="530" t="s">
        <v>461</v>
      </c>
      <c r="AK4" s="530" t="s">
        <v>462</v>
      </c>
      <c r="AL4" s="22"/>
      <c r="AM4" s="530" t="s">
        <v>461</v>
      </c>
      <c r="AN4" s="530" t="s">
        <v>513</v>
      </c>
      <c r="AO4" s="22"/>
      <c r="AP4" s="530" t="s">
        <v>461</v>
      </c>
      <c r="AQ4" s="530" t="s">
        <v>513</v>
      </c>
      <c r="AR4" s="22"/>
      <c r="AS4" s="872" t="s">
        <v>461</v>
      </c>
      <c r="AT4" s="872" t="s">
        <v>513</v>
      </c>
      <c r="AU4" s="22"/>
      <c r="AV4" s="530" t="s">
        <v>461</v>
      </c>
      <c r="AW4" s="530" t="s">
        <v>513</v>
      </c>
      <c r="AX4" s="22"/>
      <c r="AY4" s="530" t="s">
        <v>461</v>
      </c>
      <c r="AZ4" s="530" t="s">
        <v>513</v>
      </c>
      <c r="BA4" s="22"/>
    </row>
    <row r="5" spans="1:53" x14ac:dyDescent="0.2">
      <c r="A5" s="1" t="s">
        <v>24</v>
      </c>
      <c r="B5" s="20">
        <v>6843374.9000000004</v>
      </c>
      <c r="C5" s="21">
        <v>76108.583333333343</v>
      </c>
      <c r="D5" s="22">
        <v>126.16340429202303</v>
      </c>
      <c r="E5" s="1"/>
      <c r="F5" s="20">
        <v>7166991.0900000008</v>
      </c>
      <c r="G5" s="21">
        <v>76595.645416666666</v>
      </c>
      <c r="H5" s="22">
        <v>131.22652888085605</v>
      </c>
      <c r="I5" s="20">
        <v>7295965.2699999996</v>
      </c>
      <c r="J5" s="21">
        <v>78110</v>
      </c>
      <c r="K5" s="22">
        <v>130.06942554724256</v>
      </c>
      <c r="L5" s="20">
        <v>7181710.9500000002</v>
      </c>
      <c r="M5" s="21">
        <v>77958</v>
      </c>
      <c r="N5" s="22">
        <v>127.63424977806429</v>
      </c>
      <c r="O5" s="20">
        <v>8221892.419999999</v>
      </c>
      <c r="P5" s="21">
        <v>81829.350000000006</v>
      </c>
      <c r="Q5" s="22">
        <v>130.76218836079624</v>
      </c>
      <c r="R5" s="20">
        <v>8758697.8399999999</v>
      </c>
      <c r="S5" s="21">
        <v>103600.07916666666</v>
      </c>
      <c r="T5" s="22">
        <v>125.83703422768252</v>
      </c>
      <c r="U5" s="20">
        <v>10231800.85</v>
      </c>
      <c r="V5" s="21">
        <v>101283</v>
      </c>
      <c r="W5" s="140">
        <v>142.06</v>
      </c>
      <c r="X5" s="147">
        <v>10195355.860000001</v>
      </c>
      <c r="Y5" s="21">
        <v>109736</v>
      </c>
      <c r="Z5" s="140">
        <v>133.26</v>
      </c>
      <c r="AA5" s="20">
        <v>9743300.9699999988</v>
      </c>
      <c r="AB5" s="21">
        <v>94790</v>
      </c>
      <c r="AC5" s="30">
        <v>102.78827903787318</v>
      </c>
      <c r="AD5" s="158">
        <v>10284011.460000001</v>
      </c>
      <c r="AE5" s="21">
        <f>'Qtrly''s-Cntsht Book'!X262</f>
        <v>107202.93333333332</v>
      </c>
      <c r="AF5" s="30">
        <f>AD5/AE5</f>
        <v>95.930317764936802</v>
      </c>
      <c r="AG5" s="158">
        <v>10008008.4</v>
      </c>
      <c r="AH5" s="21">
        <f>'Qtrly''s-Cntsht Book'!X232</f>
        <v>101125.68333333333</v>
      </c>
      <c r="AI5" s="30">
        <f t="shared" ref="AI5:AI12" si="0">AG5/AH5</f>
        <v>98.966039784486014</v>
      </c>
      <c r="AJ5" s="158">
        <v>11263994.27</v>
      </c>
      <c r="AK5" s="21">
        <f>'Qtrly''s-Cntsht Book'!X203</f>
        <v>101981.62999999999</v>
      </c>
      <c r="AL5" s="30">
        <f t="shared" ref="AL5:AL12" si="1">AJ5/AK5</f>
        <v>110.45120841861421</v>
      </c>
      <c r="AM5" s="380">
        <v>11577121.589999998</v>
      </c>
      <c r="AN5" s="463">
        <v>100018.51666666668</v>
      </c>
      <c r="AO5" s="30">
        <f>AM5/AN5</f>
        <v>115.74978289853325</v>
      </c>
      <c r="AP5" s="380">
        <v>11514594.23</v>
      </c>
      <c r="AQ5" s="463">
        <v>98447</v>
      </c>
      <c r="AR5" s="30">
        <f>AP5/AQ5</f>
        <v>116.96236787306876</v>
      </c>
      <c r="AS5" s="869">
        <v>11556642.350000001</v>
      </c>
      <c r="AT5" s="874">
        <v>98918.041666666686</v>
      </c>
      <c r="AU5" s="30">
        <f>AS5/AT5</f>
        <v>116.83048062095176</v>
      </c>
      <c r="AV5" s="158">
        <v>12114212.68</v>
      </c>
      <c r="AW5" s="562">
        <v>98109</v>
      </c>
      <c r="AX5" s="30">
        <f>AV5/AW5</f>
        <v>123.4770783516293</v>
      </c>
      <c r="AY5" s="20">
        <f>'BILLING RATE CALC'!C29</f>
        <v>12690107.84</v>
      </c>
      <c r="AZ5" s="562">
        <f>'BILLING RATE CALC'!D29</f>
        <v>98385.75</v>
      </c>
      <c r="BA5" s="30">
        <f>AY5/AZ5</f>
        <v>128.98318953710267</v>
      </c>
    </row>
    <row r="6" spans="1:53" x14ac:dyDescent="0.2">
      <c r="A6" s="528" t="s">
        <v>442</v>
      </c>
      <c r="B6" s="20"/>
      <c r="C6" s="21"/>
      <c r="D6" s="22"/>
      <c r="E6" s="1"/>
      <c r="F6" s="20"/>
      <c r="G6" s="21"/>
      <c r="H6" s="22"/>
      <c r="I6" s="20"/>
      <c r="J6" s="21"/>
      <c r="K6" s="22"/>
      <c r="L6" s="20"/>
      <c r="M6" s="21"/>
      <c r="N6" s="22"/>
      <c r="O6" s="20"/>
      <c r="P6" s="21"/>
      <c r="Q6" s="22"/>
      <c r="R6" s="20"/>
      <c r="S6" s="21"/>
      <c r="T6" s="22"/>
      <c r="U6" s="529" t="s">
        <v>460</v>
      </c>
      <c r="V6" s="21"/>
      <c r="W6" s="140"/>
      <c r="X6" s="147" t="s">
        <v>290</v>
      </c>
      <c r="Y6" s="147" t="s">
        <v>290</v>
      </c>
      <c r="Z6" s="147" t="s">
        <v>290</v>
      </c>
      <c r="AA6" s="147" t="s">
        <v>290</v>
      </c>
      <c r="AB6" s="147" t="s">
        <v>290</v>
      </c>
      <c r="AC6" s="147" t="s">
        <v>290</v>
      </c>
      <c r="AD6" s="147" t="s">
        <v>290</v>
      </c>
      <c r="AE6" s="147" t="s">
        <v>290</v>
      </c>
      <c r="AF6" s="147" t="s">
        <v>290</v>
      </c>
      <c r="AG6" s="147" t="s">
        <v>290</v>
      </c>
      <c r="AH6" s="530" t="s">
        <v>461</v>
      </c>
      <c r="AI6" s="30"/>
      <c r="AJ6" s="158">
        <v>0</v>
      </c>
      <c r="AK6" s="21">
        <v>0</v>
      </c>
      <c r="AL6" s="30">
        <v>0</v>
      </c>
      <c r="AM6" s="380">
        <v>46469734.969999999</v>
      </c>
      <c r="AN6" s="463">
        <v>453733.32500000001</v>
      </c>
      <c r="AO6" s="30">
        <f t="shared" ref="AO6:AO12" si="2">AM6/AN6</f>
        <v>102.41640278460922</v>
      </c>
      <c r="AP6" s="380">
        <v>50543417.939999998</v>
      </c>
      <c r="AQ6" s="463">
        <v>513138</v>
      </c>
      <c r="AR6" s="30">
        <f t="shared" ref="AR6:AR11" si="3">AP6/AQ6</f>
        <v>98.498684447458572</v>
      </c>
      <c r="AS6" s="869">
        <v>44848433.690000005</v>
      </c>
      <c r="AT6" s="874">
        <v>459224.74999999994</v>
      </c>
      <c r="AU6" s="30">
        <f t="shared" ref="AU6:AU11" si="4">AS6/AT6</f>
        <v>97.661185922579321</v>
      </c>
      <c r="AV6" s="158">
        <v>41672576.399999999</v>
      </c>
      <c r="AW6" s="562">
        <v>461765</v>
      </c>
      <c r="AX6" s="30">
        <f t="shared" ref="AX6:AX11" si="5">AV6/AW6</f>
        <v>90.246286314467312</v>
      </c>
      <c r="AY6" s="20">
        <f>'BILLING RATE CALC'!C30</f>
        <v>40528059.530000001</v>
      </c>
      <c r="AZ6" s="562">
        <f>'BILLING RATE CALC'!D30</f>
        <v>486837</v>
      </c>
      <c r="BA6" s="30">
        <f t="shared" ref="BA6:BA10" si="6">AY6/AZ6</f>
        <v>83.247697956400188</v>
      </c>
    </row>
    <row r="7" spans="1:53" x14ac:dyDescent="0.2">
      <c r="A7" s="1" t="s">
        <v>100</v>
      </c>
      <c r="B7" s="20">
        <v>7142287.0600000005</v>
      </c>
      <c r="C7" s="21">
        <v>105991.13333333335</v>
      </c>
      <c r="D7" s="22">
        <v>103.63316641167151</v>
      </c>
      <c r="E7" s="1"/>
      <c r="F7" s="20">
        <v>7299380.0100000007</v>
      </c>
      <c r="G7" s="21">
        <v>103376.09083333332</v>
      </c>
      <c r="H7" s="22">
        <v>108.26730152323337</v>
      </c>
      <c r="I7" s="20">
        <v>7299380.0100000007</v>
      </c>
      <c r="J7" s="21">
        <v>103295</v>
      </c>
      <c r="K7" s="22">
        <v>107.32851204571601</v>
      </c>
      <c r="L7" s="20">
        <v>7398555.71</v>
      </c>
      <c r="M7" s="21">
        <v>107970</v>
      </c>
      <c r="N7" s="22">
        <v>104.03560783135765</v>
      </c>
      <c r="O7" s="20">
        <v>7697246.9099999992</v>
      </c>
      <c r="P7" s="21">
        <v>113687.97958333335</v>
      </c>
      <c r="Q7" s="22">
        <v>97.991126912776693</v>
      </c>
      <c r="R7" s="20">
        <v>8564813.7899999991</v>
      </c>
      <c r="S7" s="21">
        <v>122196.67708333333</v>
      </c>
      <c r="T7" s="22">
        <v>111.38408187049444</v>
      </c>
      <c r="U7" s="20">
        <v>9796565.5199999996</v>
      </c>
      <c r="V7" s="21">
        <v>121011</v>
      </c>
      <c r="W7" s="140">
        <v>122</v>
      </c>
      <c r="X7" s="147">
        <v>9668374.5</v>
      </c>
      <c r="Y7" s="21">
        <v>140284</v>
      </c>
      <c r="Z7" s="140">
        <v>109.27</v>
      </c>
      <c r="AA7" s="20">
        <v>9905372.1500000004</v>
      </c>
      <c r="AB7" s="21">
        <v>129251</v>
      </c>
      <c r="AC7" s="30">
        <v>76.63671577009076</v>
      </c>
      <c r="AD7" s="158">
        <v>10581088.6</v>
      </c>
      <c r="AE7" s="21">
        <f>'Qtrly''s-Cntsht Book'!X263</f>
        <v>139120.66249999998</v>
      </c>
      <c r="AF7" s="30">
        <f>AD7/AE7</f>
        <v>76.0569164195865</v>
      </c>
      <c r="AG7" s="158">
        <v>10367304.35</v>
      </c>
      <c r="AH7" s="21">
        <f>'Qtrly''s-Cntsht Book'!X233</f>
        <v>146938.35416666669</v>
      </c>
      <c r="AI7" s="30">
        <f t="shared" si="0"/>
        <v>70.555468031449124</v>
      </c>
      <c r="AJ7" s="158">
        <v>11545267.449999999</v>
      </c>
      <c r="AK7" s="21">
        <f>'Qtrly''s-Cntsht Book'!X204</f>
        <v>151887.25499999995</v>
      </c>
      <c r="AL7" s="30">
        <f t="shared" si="1"/>
        <v>76.012088374366911</v>
      </c>
      <c r="AM7" s="380">
        <v>12740801.75</v>
      </c>
      <c r="AN7" s="463">
        <v>153873.96250000002</v>
      </c>
      <c r="AO7" s="30">
        <f t="shared" si="2"/>
        <v>82.800244713266537</v>
      </c>
      <c r="AP7" s="380">
        <v>12664955.34</v>
      </c>
      <c r="AQ7" s="463">
        <v>154684</v>
      </c>
      <c r="AR7" s="30">
        <f t="shared" si="3"/>
        <v>81.876311318559132</v>
      </c>
      <c r="AS7" s="869">
        <v>12729365.569999998</v>
      </c>
      <c r="AT7" s="874">
        <v>135904.70833333334</v>
      </c>
      <c r="AU7" s="30">
        <f t="shared" si="4"/>
        <v>93.663904114187829</v>
      </c>
      <c r="AV7" s="158">
        <v>13725390.560000001</v>
      </c>
      <c r="AW7" s="562">
        <v>110653</v>
      </c>
      <c r="AX7" s="30">
        <f t="shared" si="5"/>
        <v>124.03993167830967</v>
      </c>
      <c r="AY7" s="20">
        <f>'BILLING RATE CALC'!C31</f>
        <v>14155036.83</v>
      </c>
      <c r="AZ7" s="562">
        <f>'BILLING RATE CALC'!D31</f>
        <v>113162.16666666667</v>
      </c>
      <c r="BA7" s="30">
        <f t="shared" si="6"/>
        <v>125.08630089856297</v>
      </c>
    </row>
    <row r="8" spans="1:53" x14ac:dyDescent="0.2">
      <c r="A8" s="1" t="s">
        <v>15</v>
      </c>
      <c r="B8" s="20">
        <v>2759922.38</v>
      </c>
      <c r="C8" s="21">
        <v>20514.825000000001</v>
      </c>
      <c r="D8" s="22">
        <v>170.78053276375562</v>
      </c>
      <c r="E8" s="1"/>
      <c r="F8" s="20">
        <v>2953749.72</v>
      </c>
      <c r="G8" s="21">
        <v>20327.367083333338</v>
      </c>
      <c r="H8" s="22">
        <v>182.96637383175121</v>
      </c>
      <c r="I8" s="20">
        <v>2953749.72</v>
      </c>
      <c r="J8" s="21">
        <v>20440</v>
      </c>
      <c r="K8" s="22">
        <v>181.17143941047573</v>
      </c>
      <c r="L8" s="20">
        <v>2733184.2</v>
      </c>
      <c r="M8" s="21">
        <v>21594</v>
      </c>
      <c r="N8" s="22">
        <v>162.08289216959975</v>
      </c>
      <c r="O8" s="20">
        <v>2914942.68</v>
      </c>
      <c r="P8" s="21">
        <v>23087.071249999997</v>
      </c>
      <c r="Q8" s="22">
        <v>156.54476712961858</v>
      </c>
      <c r="R8" s="20">
        <v>3148961.34</v>
      </c>
      <c r="S8" s="21">
        <v>23551.89875</v>
      </c>
      <c r="T8" s="22">
        <v>174.99676072487296</v>
      </c>
      <c r="U8" s="20">
        <v>3501265.65</v>
      </c>
      <c r="V8" s="21">
        <v>21658</v>
      </c>
      <c r="W8" s="140">
        <v>202.7</v>
      </c>
      <c r="X8" s="147">
        <v>3732359.16</v>
      </c>
      <c r="Y8" s="21">
        <v>21250</v>
      </c>
      <c r="Z8" s="140">
        <v>215.99</v>
      </c>
      <c r="AA8" s="20">
        <v>3618116.89</v>
      </c>
      <c r="AB8" s="21">
        <v>17189</v>
      </c>
      <c r="AC8" s="30">
        <v>210.49024899645124</v>
      </c>
      <c r="AD8" s="158">
        <v>3935511.29</v>
      </c>
      <c r="AE8" s="21">
        <f>'Qtrly''s-Cntsht Book'!X264</f>
        <v>22008.04</v>
      </c>
      <c r="AF8" s="30">
        <f t="shared" ref="AF8:AF16" si="7">AD8/AE8</f>
        <v>178.82152567879737</v>
      </c>
      <c r="AG8" s="158">
        <v>4110405.23</v>
      </c>
      <c r="AH8" s="21">
        <f>'Qtrly''s-Cntsht Book'!X234</f>
        <v>23030.283333333336</v>
      </c>
      <c r="AI8" s="30">
        <f t="shared" si="0"/>
        <v>178.47827447483999</v>
      </c>
      <c r="AJ8" s="158">
        <v>4466229.38</v>
      </c>
      <c r="AK8" s="21">
        <f>'Qtrly''s-Cntsht Book'!X205</f>
        <v>23195.555000000004</v>
      </c>
      <c r="AL8" s="30">
        <f t="shared" si="1"/>
        <v>192.5467780357055</v>
      </c>
      <c r="AM8" s="380">
        <v>4477204.46</v>
      </c>
      <c r="AN8" s="463">
        <v>24480.245833333338</v>
      </c>
      <c r="AO8" s="30">
        <f t="shared" si="2"/>
        <v>182.89050242721211</v>
      </c>
      <c r="AP8" s="380">
        <v>4520349.4400000004</v>
      </c>
      <c r="AQ8" s="463">
        <v>22995</v>
      </c>
      <c r="AR8" s="30">
        <f t="shared" si="3"/>
        <v>196.57966688410525</v>
      </c>
      <c r="AS8" s="869">
        <v>4646328.21</v>
      </c>
      <c r="AT8" s="874">
        <v>19545.749999999996</v>
      </c>
      <c r="AU8" s="30">
        <f t="shared" si="4"/>
        <v>237.71552434672503</v>
      </c>
      <c r="AV8" s="158">
        <v>4544196.3</v>
      </c>
      <c r="AW8" s="562">
        <v>18813</v>
      </c>
      <c r="AX8" s="30">
        <f t="shared" si="5"/>
        <v>241.54554297560196</v>
      </c>
      <c r="AY8" s="20">
        <f>'BILLING RATE CALC'!C32</f>
        <v>4602921.4400000004</v>
      </c>
      <c r="AZ8" s="562">
        <f>'BILLING RATE CALC'!D32</f>
        <v>18922.208333333336</v>
      </c>
      <c r="BA8" s="30">
        <f t="shared" si="6"/>
        <v>243.25498160230592</v>
      </c>
    </row>
    <row r="9" spans="1:53" x14ac:dyDescent="0.2">
      <c r="A9" s="1" t="s">
        <v>101</v>
      </c>
      <c r="B9" s="20">
        <v>5827761.3599999994</v>
      </c>
      <c r="C9" s="21">
        <v>61079.708333333336</v>
      </c>
      <c r="D9" s="22">
        <v>131.65985981235076</v>
      </c>
      <c r="E9" s="1"/>
      <c r="F9" s="20">
        <v>6041167.71</v>
      </c>
      <c r="G9" s="21">
        <v>60596.174583333333</v>
      </c>
      <c r="H9" s="22">
        <v>137.35288676576835</v>
      </c>
      <c r="I9" s="20">
        <v>6041167.71</v>
      </c>
      <c r="J9" s="21">
        <v>60590</v>
      </c>
      <c r="K9" s="22">
        <v>136.36882530630956</v>
      </c>
      <c r="L9" s="20">
        <v>5955706.8499999996</v>
      </c>
      <c r="M9" s="21">
        <v>61854</v>
      </c>
      <c r="N9" s="22">
        <v>131.79795501852831</v>
      </c>
      <c r="O9" s="20">
        <v>6103915.25</v>
      </c>
      <c r="P9" s="21">
        <v>65060.945833333324</v>
      </c>
      <c r="Q9" s="22">
        <v>124.10452876467015</v>
      </c>
      <c r="R9" s="20">
        <v>6622277.96</v>
      </c>
      <c r="S9" s="21">
        <v>72068.945833333331</v>
      </c>
      <c r="T9" s="22">
        <v>133.18177587264827</v>
      </c>
      <c r="U9" s="20">
        <v>7491800.2199999997</v>
      </c>
      <c r="V9" s="21">
        <v>70195</v>
      </c>
      <c r="W9" s="140">
        <v>147.77000000000001</v>
      </c>
      <c r="X9" s="147">
        <v>7881180.6600000001</v>
      </c>
      <c r="Y9" s="21">
        <v>75821</v>
      </c>
      <c r="Z9" s="140">
        <v>144.29</v>
      </c>
      <c r="AA9" s="20">
        <v>7690593.1700000009</v>
      </c>
      <c r="AB9" s="21">
        <v>73065</v>
      </c>
      <c r="AC9" s="30">
        <v>105.2568694997605</v>
      </c>
      <c r="AD9" s="158">
        <v>8262094.5700000003</v>
      </c>
      <c r="AE9" s="21">
        <f>'Qtrly''s-Cntsht Book'!X265</f>
        <v>77820.737500000003</v>
      </c>
      <c r="AF9" s="30">
        <f t="shared" si="7"/>
        <v>106.16828926865414</v>
      </c>
      <c r="AG9" s="158">
        <v>8336468.46</v>
      </c>
      <c r="AH9" s="21">
        <f>'Qtrly''s-Cntsht Book'!X235</f>
        <v>83881.5625</v>
      </c>
      <c r="AI9" s="30">
        <f t="shared" si="0"/>
        <v>99.383800343490265</v>
      </c>
      <c r="AJ9" s="158">
        <v>9182902.6799999997</v>
      </c>
      <c r="AK9" s="21">
        <f>'Qtrly''s-Cntsht Book'!X206</f>
        <v>85682.125000000015</v>
      </c>
      <c r="AL9" s="30">
        <f t="shared" si="1"/>
        <v>107.17407720688531</v>
      </c>
      <c r="AM9" s="380">
        <v>10195510.209999999</v>
      </c>
      <c r="AN9" s="463">
        <v>87468.904166666674</v>
      </c>
      <c r="AO9" s="30">
        <f t="shared" si="2"/>
        <v>116.56154043696574</v>
      </c>
      <c r="AP9" s="380">
        <v>10029719.15</v>
      </c>
      <c r="AQ9" s="463">
        <v>86462</v>
      </c>
      <c r="AR9" s="30">
        <f t="shared" si="3"/>
        <v>116.00147058823529</v>
      </c>
      <c r="AS9" s="869">
        <v>9970901.6500000004</v>
      </c>
      <c r="AT9" s="874">
        <v>81647.458333333343</v>
      </c>
      <c r="AU9" s="30">
        <f t="shared" si="4"/>
        <v>122.12139671626846</v>
      </c>
      <c r="AV9" s="158">
        <v>10135734.85</v>
      </c>
      <c r="AW9" s="562">
        <v>77267</v>
      </c>
      <c r="AX9" s="30">
        <f t="shared" si="5"/>
        <v>131.1780559617948</v>
      </c>
      <c r="AY9" s="20">
        <f>'BILLING RATE CALC'!C33</f>
        <v>10625941.800000001</v>
      </c>
      <c r="AZ9" s="562">
        <f>'BILLING RATE CALC'!D33</f>
        <v>76084.25</v>
      </c>
      <c r="BA9" s="30">
        <f t="shared" si="6"/>
        <v>139.66020299864954</v>
      </c>
    </row>
    <row r="10" spans="1:53" x14ac:dyDescent="0.2">
      <c r="A10" s="1" t="s">
        <v>17</v>
      </c>
      <c r="B10" s="20">
        <v>2699075.64</v>
      </c>
      <c r="C10" s="21">
        <v>30399.32916666667</v>
      </c>
      <c r="D10" s="22">
        <v>125.03480529704403</v>
      </c>
      <c r="E10" s="1"/>
      <c r="F10" s="20">
        <v>2708207.76</v>
      </c>
      <c r="G10" s="21">
        <v>29603.233750000003</v>
      </c>
      <c r="H10" s="22">
        <v>129.14086826467116</v>
      </c>
      <c r="I10" s="20">
        <v>2708207.76</v>
      </c>
      <c r="J10" s="21">
        <v>29565</v>
      </c>
      <c r="K10" s="22">
        <v>128.26495444997707</v>
      </c>
      <c r="L10" s="20">
        <v>2764083.17</v>
      </c>
      <c r="M10" s="21">
        <v>31842</v>
      </c>
      <c r="N10" s="22">
        <v>122.31763257215944</v>
      </c>
      <c r="O10" s="20">
        <v>3048248.56</v>
      </c>
      <c r="P10" s="21">
        <v>34806.460833333331</v>
      </c>
      <c r="Q10" s="22">
        <v>117.86319730306413</v>
      </c>
      <c r="R10" s="20">
        <v>3317571.4</v>
      </c>
      <c r="S10" s="21">
        <v>36446.101666666669</v>
      </c>
      <c r="T10" s="22">
        <v>132.32046672808139</v>
      </c>
      <c r="U10" s="20">
        <v>3707178.25</v>
      </c>
      <c r="V10" s="21">
        <v>38410</v>
      </c>
      <c r="W10" s="140">
        <v>137.56</v>
      </c>
      <c r="X10" s="147">
        <v>3925122.09</v>
      </c>
      <c r="Y10" s="21">
        <v>41410</v>
      </c>
      <c r="Z10" s="140">
        <v>135.13999999999999</v>
      </c>
      <c r="AA10" s="20">
        <v>4091395.22</v>
      </c>
      <c r="AB10" s="21">
        <v>37712</v>
      </c>
      <c r="AC10" s="30">
        <v>108.49053935086975</v>
      </c>
      <c r="AD10" s="158">
        <v>4241143.1100000003</v>
      </c>
      <c r="AE10" s="21">
        <f>'Qtrly''s-Cntsht Book'!X266</f>
        <v>38900.118333333325</v>
      </c>
      <c r="AF10" s="30">
        <f t="shared" si="7"/>
        <v>109.02648350984026</v>
      </c>
      <c r="AG10" s="158">
        <v>4240361.3600000003</v>
      </c>
      <c r="AH10" s="21">
        <f>'Qtrly''s-Cntsht Book'!X236</f>
        <v>37470.59583333334</v>
      </c>
      <c r="AI10" s="30">
        <f t="shared" si="0"/>
        <v>113.1650368961529</v>
      </c>
      <c r="AJ10" s="158">
        <v>4486136.8899999997</v>
      </c>
      <c r="AK10" s="21">
        <f>'Qtrly''s-Cntsht Book'!X207</f>
        <v>35165.584999999999</v>
      </c>
      <c r="AL10" s="30">
        <f t="shared" si="1"/>
        <v>127.57179754012338</v>
      </c>
      <c r="AM10" s="380">
        <v>4846980.1399999997</v>
      </c>
      <c r="AN10" s="463">
        <v>38009.275000000001</v>
      </c>
      <c r="AO10" s="30">
        <f t="shared" si="2"/>
        <v>127.52098375988491</v>
      </c>
      <c r="AP10" s="380">
        <v>4898489.6399999997</v>
      </c>
      <c r="AQ10" s="463">
        <v>39000</v>
      </c>
      <c r="AR10" s="30">
        <f t="shared" si="3"/>
        <v>125.60229846153845</v>
      </c>
      <c r="AS10" s="869">
        <v>5095669.38</v>
      </c>
      <c r="AT10" s="874">
        <v>36630.791666666657</v>
      </c>
      <c r="AU10" s="30">
        <f t="shared" si="4"/>
        <v>139.10890669166085</v>
      </c>
      <c r="AV10" s="158">
        <v>6136341.46</v>
      </c>
      <c r="AW10" s="562">
        <v>34812</v>
      </c>
      <c r="AX10" s="30">
        <f t="shared" si="5"/>
        <v>176.27086809146272</v>
      </c>
      <c r="AY10" s="20">
        <f>'BILLING RATE CALC'!C34</f>
        <v>6495487.2400000002</v>
      </c>
      <c r="AZ10" s="562">
        <f>'BILLING RATE CALC'!D34</f>
        <v>31837.124999999993</v>
      </c>
      <c r="BA10" s="30">
        <f t="shared" si="6"/>
        <v>204.02241848156834</v>
      </c>
    </row>
    <row r="11" spans="1:53" x14ac:dyDescent="0.2">
      <c r="A11" s="1" t="s">
        <v>18</v>
      </c>
      <c r="B11" s="20">
        <v>8207261.5800000001</v>
      </c>
      <c r="C11" s="21">
        <v>143569.70833333334</v>
      </c>
      <c r="D11" s="22">
        <v>93.413154117471635</v>
      </c>
      <c r="E11" s="1"/>
      <c r="F11" s="20">
        <v>8311351.2000000002</v>
      </c>
      <c r="G11" s="21">
        <v>140173.07916666666</v>
      </c>
      <c r="H11" s="22">
        <v>96.950848221157017</v>
      </c>
      <c r="I11" s="20">
        <v>8311351.2000000002</v>
      </c>
      <c r="J11" s="21">
        <v>140160</v>
      </c>
      <c r="K11" s="22">
        <v>95.962160056268303</v>
      </c>
      <c r="L11" s="20">
        <v>8446993.709999999</v>
      </c>
      <c r="M11" s="21">
        <v>140544</v>
      </c>
      <c r="N11" s="22">
        <v>95.613557527309055</v>
      </c>
      <c r="O11" s="20">
        <v>8922253.379999999</v>
      </c>
      <c r="P11" s="21">
        <v>143667.65</v>
      </c>
      <c r="Q11" s="22">
        <v>92.389533864531998</v>
      </c>
      <c r="R11" s="20">
        <v>9956649.9399999995</v>
      </c>
      <c r="S11" s="21">
        <v>148299.5</v>
      </c>
      <c r="T11" s="22">
        <v>108.43247981016688</v>
      </c>
      <c r="U11" s="20">
        <v>10900064.17</v>
      </c>
      <c r="V11" s="21">
        <v>143253</v>
      </c>
      <c r="W11" s="140">
        <v>117.13</v>
      </c>
      <c r="X11" s="147">
        <v>11838881.150000002</v>
      </c>
      <c r="Y11" s="21">
        <v>152147</v>
      </c>
      <c r="Z11" s="140">
        <v>118.16</v>
      </c>
      <c r="AA11" s="20">
        <v>12051609.629999999</v>
      </c>
      <c r="AB11" s="21">
        <v>161728</v>
      </c>
      <c r="AC11" s="30">
        <v>74.51776828996833</v>
      </c>
      <c r="AD11" s="158">
        <v>12507800.460000001</v>
      </c>
      <c r="AE11" s="21">
        <f>'Qtrly''s-Cntsht Book'!X267</f>
        <v>182553.53333333335</v>
      </c>
      <c r="AF11" s="30">
        <f t="shared" si="7"/>
        <v>68.515794964983783</v>
      </c>
      <c r="AG11" s="158">
        <v>12108368.67</v>
      </c>
      <c r="AH11" s="21">
        <f>'Qtrly''s-Cntsht Book'!X237</f>
        <v>183526.5625</v>
      </c>
      <c r="AI11" s="30">
        <f t="shared" si="0"/>
        <v>65.976109970457273</v>
      </c>
      <c r="AJ11" s="158">
        <v>13367392.85</v>
      </c>
      <c r="AK11" s="21">
        <f>'Qtrly''s-Cntsht Book'!X208</f>
        <v>183184.52499999999</v>
      </c>
      <c r="AL11" s="30">
        <f t="shared" si="1"/>
        <v>72.972282183770716</v>
      </c>
      <c r="AM11" s="380">
        <v>13418699.330000002</v>
      </c>
      <c r="AN11" s="463">
        <v>183310.90833333333</v>
      </c>
      <c r="AO11" s="30">
        <f t="shared" si="2"/>
        <v>73.201859354705633</v>
      </c>
      <c r="AP11" s="380">
        <v>13350499.869999999</v>
      </c>
      <c r="AQ11" s="463">
        <v>183534</v>
      </c>
      <c r="AR11" s="30">
        <f t="shared" si="3"/>
        <v>72.741289733782295</v>
      </c>
      <c r="AS11" s="869">
        <v>13075634.860000001</v>
      </c>
      <c r="AT11" s="874">
        <v>180115.33333333334</v>
      </c>
      <c r="AU11" s="30">
        <f t="shared" si="4"/>
        <v>72.595900737675493</v>
      </c>
      <c r="AV11" s="158">
        <v>7478497.0899999999</v>
      </c>
      <c r="AW11" s="562">
        <v>37629</v>
      </c>
      <c r="AX11" s="30">
        <f t="shared" si="5"/>
        <v>198.74291344441787</v>
      </c>
      <c r="AY11" s="20">
        <f>'BILLING RATE CALC'!C35</f>
        <v>94820.73000000001</v>
      </c>
      <c r="AZ11" s="562">
        <f>'BILLING RATE CALC'!D35</f>
        <v>0</v>
      </c>
      <c r="BA11" s="30">
        <v>0</v>
      </c>
    </row>
    <row r="12" spans="1:53" x14ac:dyDescent="0.2">
      <c r="A12" s="1" t="s">
        <v>329</v>
      </c>
      <c r="B12" s="20"/>
      <c r="C12" s="21"/>
      <c r="D12" s="22"/>
      <c r="E12" s="1"/>
      <c r="F12" s="20"/>
      <c r="G12" s="21"/>
      <c r="H12" s="22"/>
      <c r="I12" s="23">
        <v>2330932.15</v>
      </c>
      <c r="J12" s="21">
        <v>34310</v>
      </c>
      <c r="K12" s="22">
        <v>104.60053480124061</v>
      </c>
      <c r="L12" s="20">
        <v>2389598.2999999998</v>
      </c>
      <c r="M12" s="21">
        <v>35136</v>
      </c>
      <c r="N12" s="22">
        <v>103.52139770547392</v>
      </c>
      <c r="O12" s="20">
        <v>2644884.66</v>
      </c>
      <c r="P12" s="21">
        <v>35896.989583333328</v>
      </c>
      <c r="Q12" s="22">
        <v>103.96595297988468</v>
      </c>
      <c r="R12" s="20">
        <v>3089261.72</v>
      </c>
      <c r="S12" s="21">
        <v>35735.5075</v>
      </c>
      <c r="T12" s="22">
        <v>127.7416433057989</v>
      </c>
      <c r="U12" s="20">
        <v>3626206.66</v>
      </c>
      <c r="V12" s="21">
        <v>39250</v>
      </c>
      <c r="W12" s="140">
        <v>133.43</v>
      </c>
      <c r="X12" s="147">
        <v>3797182.17</v>
      </c>
      <c r="Y12" s="21">
        <v>44263</v>
      </c>
      <c r="Z12" s="140">
        <v>126.14</v>
      </c>
      <c r="AA12" s="20">
        <v>3906004.53</v>
      </c>
      <c r="AB12" s="21">
        <v>42940</v>
      </c>
      <c r="AC12" s="30">
        <v>90.964241499767112</v>
      </c>
      <c r="AD12" s="158">
        <v>3769359.7</v>
      </c>
      <c r="AE12" s="21">
        <f>'Qtrly''s-Cntsht Book'!X268</f>
        <v>42361.595833333333</v>
      </c>
      <c r="AF12" s="30">
        <f t="shared" si="7"/>
        <v>88.980587861470056</v>
      </c>
      <c r="AG12" s="158">
        <v>3584193.87</v>
      </c>
      <c r="AH12" s="21">
        <f>'Qtrly''s-Cntsht Book'!X238</f>
        <v>43762.587499999994</v>
      </c>
      <c r="AI12" s="30">
        <f t="shared" si="0"/>
        <v>81.90086726476126</v>
      </c>
      <c r="AJ12" s="158">
        <v>3810246.96</v>
      </c>
      <c r="AK12" s="21">
        <f>'Qtrly''s-Cntsht Book'!X209</f>
        <v>40484.480000000003</v>
      </c>
      <c r="AL12" s="30">
        <f t="shared" si="1"/>
        <v>94.116238123843999</v>
      </c>
      <c r="AM12" s="380">
        <v>3051516.9800000004</v>
      </c>
      <c r="AN12" s="463">
        <v>32252.008333333339</v>
      </c>
      <c r="AO12" s="30">
        <f t="shared" si="2"/>
        <v>94.614789518275472</v>
      </c>
      <c r="AP12" s="380">
        <v>0</v>
      </c>
      <c r="AQ12" s="463">
        <v>0</v>
      </c>
      <c r="AR12" s="17">
        <v>0</v>
      </c>
      <c r="AS12" s="869">
        <v>206733.59</v>
      </c>
      <c r="AT12" s="874">
        <v>1460</v>
      </c>
      <c r="AU12" s="30">
        <v>0</v>
      </c>
      <c r="AV12" s="158">
        <v>284563.77</v>
      </c>
      <c r="AW12" s="562">
        <v>35223</v>
      </c>
      <c r="AX12" s="30">
        <v>0</v>
      </c>
      <c r="AY12" s="20">
        <f>'BILLING RATE CALC'!C36</f>
        <v>4294758.95</v>
      </c>
      <c r="AZ12" s="562">
        <f>'BILLING RATE CALC'!D36</f>
        <v>31824.958333333332</v>
      </c>
      <c r="BA12" s="30">
        <f>AY12/AZ12</f>
        <v>134.94939742000187</v>
      </c>
    </row>
    <row r="13" spans="1:53" x14ac:dyDescent="0.2">
      <c r="A13" s="1" t="s">
        <v>237</v>
      </c>
      <c r="B13" s="20">
        <v>3419265.19</v>
      </c>
      <c r="C13" s="21">
        <v>31338.595833333333</v>
      </c>
      <c r="D13" s="22">
        <v>145.35462314972062</v>
      </c>
      <c r="E13" s="1"/>
      <c r="F13" s="20" t="s">
        <v>238</v>
      </c>
      <c r="G13" s="21" t="s">
        <v>239</v>
      </c>
      <c r="H13" s="22" t="s">
        <v>240</v>
      </c>
      <c r="I13" s="20" t="s">
        <v>238</v>
      </c>
      <c r="J13" s="21" t="s">
        <v>239</v>
      </c>
      <c r="K13" s="22" t="s">
        <v>240</v>
      </c>
      <c r="L13" s="20" t="s">
        <v>238</v>
      </c>
      <c r="M13" s="21" t="s">
        <v>239</v>
      </c>
      <c r="N13" s="22" t="s">
        <v>240</v>
      </c>
      <c r="O13" s="20" t="s">
        <v>238</v>
      </c>
      <c r="P13" s="21" t="s">
        <v>239</v>
      </c>
      <c r="Q13" s="22" t="s">
        <v>240</v>
      </c>
      <c r="R13" s="20" t="s">
        <v>238</v>
      </c>
      <c r="S13" s="21" t="s">
        <v>239</v>
      </c>
      <c r="T13" s="140" t="s">
        <v>240</v>
      </c>
      <c r="U13" s="20" t="s">
        <v>238</v>
      </c>
      <c r="V13" s="21" t="s">
        <v>239</v>
      </c>
      <c r="W13" s="140" t="s">
        <v>240</v>
      </c>
      <c r="X13" s="147" t="s">
        <v>290</v>
      </c>
      <c r="Y13" s="21" t="s">
        <v>239</v>
      </c>
      <c r="Z13" s="140" t="s">
        <v>240</v>
      </c>
      <c r="AA13" s="20" t="s">
        <v>290</v>
      </c>
      <c r="AB13" s="21" t="s">
        <v>239</v>
      </c>
      <c r="AC13" s="22" t="s">
        <v>239</v>
      </c>
      <c r="AD13" s="158" t="s">
        <v>290</v>
      </c>
      <c r="AE13" s="21" t="s">
        <v>239</v>
      </c>
      <c r="AF13" s="22" t="s">
        <v>239</v>
      </c>
      <c r="AG13" s="158" t="s">
        <v>290</v>
      </c>
      <c r="AH13" s="530" t="s">
        <v>461</v>
      </c>
      <c r="AI13" s="22" t="s">
        <v>239</v>
      </c>
      <c r="AJ13" s="158" t="s">
        <v>290</v>
      </c>
      <c r="AK13" s="21" t="s">
        <v>239</v>
      </c>
      <c r="AL13" s="22" t="s">
        <v>239</v>
      </c>
      <c r="AM13" s="158" t="s">
        <v>290</v>
      </c>
      <c r="AN13" s="21" t="s">
        <v>239</v>
      </c>
      <c r="AO13" s="22" t="s">
        <v>239</v>
      </c>
      <c r="AP13" s="158" t="s">
        <v>290</v>
      </c>
      <c r="AQ13" s="21" t="s">
        <v>239</v>
      </c>
      <c r="AR13" s="22" t="s">
        <v>239</v>
      </c>
      <c r="AS13" s="869" t="s">
        <v>290</v>
      </c>
      <c r="AT13" s="872" t="s">
        <v>239</v>
      </c>
      <c r="AU13" s="22" t="s">
        <v>239</v>
      </c>
      <c r="AV13" s="158" t="s">
        <v>290</v>
      </c>
      <c r="AW13" s="21" t="s">
        <v>239</v>
      </c>
      <c r="AX13" s="22" t="s">
        <v>239</v>
      </c>
      <c r="AY13" s="20" t="s">
        <v>290</v>
      </c>
      <c r="AZ13" s="21" t="s">
        <v>239</v>
      </c>
      <c r="BA13" s="22" t="s">
        <v>239</v>
      </c>
    </row>
    <row r="14" spans="1:53" x14ac:dyDescent="0.2">
      <c r="A14" s="1" t="s">
        <v>102</v>
      </c>
      <c r="B14" s="20">
        <v>13586189.510000002</v>
      </c>
      <c r="C14" s="21">
        <v>188029.75</v>
      </c>
      <c r="D14" s="22">
        <v>108.50299456736604</v>
      </c>
      <c r="E14" s="1"/>
      <c r="F14" s="20">
        <v>13814498.580000002</v>
      </c>
      <c r="G14" s="21">
        <v>174111.4483333333</v>
      </c>
      <c r="H14" s="22">
        <v>117.00020757470205</v>
      </c>
      <c r="I14" s="20">
        <v>13814498.580000002</v>
      </c>
      <c r="J14" s="21">
        <v>174105</v>
      </c>
      <c r="K14" s="22">
        <v>116.0089250041446</v>
      </c>
      <c r="L14" s="20">
        <v>14201185</v>
      </c>
      <c r="M14" s="21">
        <v>177144</v>
      </c>
      <c r="N14" s="22">
        <v>115.67889050323544</v>
      </c>
      <c r="O14" s="20">
        <v>15053552.92</v>
      </c>
      <c r="P14" s="21">
        <v>173736.04583333334</v>
      </c>
      <c r="Q14" s="22">
        <v>116.93221929879984</v>
      </c>
      <c r="R14" s="20">
        <v>16269860.390000001</v>
      </c>
      <c r="S14" s="21">
        <v>177677.43750000003</v>
      </c>
      <c r="T14" s="22">
        <v>132.8633312787793</v>
      </c>
      <c r="U14" s="20">
        <v>18421022.010000002</v>
      </c>
      <c r="V14" s="21">
        <v>172897</v>
      </c>
      <c r="W14" s="140">
        <v>147.59</v>
      </c>
      <c r="X14" s="147">
        <v>19526927.620000001</v>
      </c>
      <c r="Y14" s="21">
        <v>196419</v>
      </c>
      <c r="Z14" s="140">
        <v>139.76</v>
      </c>
      <c r="AA14" s="525">
        <v>19044803.41</v>
      </c>
      <c r="AB14" s="21">
        <v>195304</v>
      </c>
      <c r="AC14" s="30">
        <v>97.513637252693243</v>
      </c>
      <c r="AD14" s="159">
        <v>20860192.940000001</v>
      </c>
      <c r="AE14" s="21">
        <f>'Qtrly''s-Cntsht Book'!X269</f>
        <v>200418.15416666665</v>
      </c>
      <c r="AF14" s="30">
        <f t="shared" si="7"/>
        <v>104.08335026702611</v>
      </c>
      <c r="AG14" s="159">
        <v>21259252.710000001</v>
      </c>
      <c r="AH14" s="21">
        <f>'Qtrly''s-Cntsht Book'!X239</f>
        <v>200520.05</v>
      </c>
      <c r="AI14" s="30">
        <f>AG14/AH14</f>
        <v>106.02058352768215</v>
      </c>
      <c r="AJ14" s="159">
        <v>23701557.920000002</v>
      </c>
      <c r="AK14" s="21">
        <f>'Qtrly''s-Cntsht Book'!X210</f>
        <v>198029.48499999999</v>
      </c>
      <c r="AL14" s="30">
        <f>AJ14/AK14</f>
        <v>119.68701489073712</v>
      </c>
      <c r="AM14" s="380">
        <v>23895860.159999996</v>
      </c>
      <c r="AN14" s="464">
        <v>168351.07916666666</v>
      </c>
      <c r="AO14" s="30">
        <f>AM14/AN14</f>
        <v>141.94064141604477</v>
      </c>
      <c r="AP14" s="380">
        <v>21565441.68</v>
      </c>
      <c r="AQ14" s="464">
        <v>192632</v>
      </c>
      <c r="AR14" s="30">
        <f>AP14/AQ14</f>
        <v>111.95150172349349</v>
      </c>
      <c r="AS14" s="870">
        <v>22390188.989999998</v>
      </c>
      <c r="AT14" s="874">
        <v>187704.29166666666</v>
      </c>
      <c r="AU14" s="30">
        <f>AS14/AT14</f>
        <v>119.28437432726076</v>
      </c>
      <c r="AV14" s="159">
        <v>24652732.98</v>
      </c>
      <c r="AW14" s="562">
        <v>178512</v>
      </c>
      <c r="AX14" s="30">
        <f>AV14/AW14</f>
        <v>138.10126478892175</v>
      </c>
      <c r="AY14" s="525">
        <f>'BILLING RATE CALC'!C37</f>
        <v>22400760.560000002</v>
      </c>
      <c r="AZ14" s="562">
        <f>'BILLING RATE CALC'!D37</f>
        <v>143332.45833333331</v>
      </c>
      <c r="BA14" s="30">
        <f>AY14/AZ14</f>
        <v>156.28533006742197</v>
      </c>
    </row>
    <row r="15" spans="1:53" x14ac:dyDescent="0.2">
      <c r="A15" s="1" t="s">
        <v>25</v>
      </c>
      <c r="B15" s="20">
        <v>8134816.5899999999</v>
      </c>
      <c r="C15" s="21">
        <v>130177.85833333335</v>
      </c>
      <c r="D15" s="22">
        <v>98.737480216869031</v>
      </c>
      <c r="E15" s="1"/>
      <c r="F15" s="20">
        <v>8641325.7200000007</v>
      </c>
      <c r="G15" s="21">
        <v>128241.29</v>
      </c>
      <c r="H15" s="22">
        <v>105.04069161625803</v>
      </c>
      <c r="I15" s="20">
        <v>8641325.7200000007</v>
      </c>
      <c r="J15" s="21">
        <v>128115</v>
      </c>
      <c r="K15" s="22">
        <v>104.11289387939597</v>
      </c>
      <c r="L15" s="20">
        <v>8271519.7600000007</v>
      </c>
      <c r="M15" s="21">
        <v>129930</v>
      </c>
      <c r="N15" s="22">
        <v>99.172782141644674</v>
      </c>
      <c r="O15" s="20">
        <v>8861688.3399999999</v>
      </c>
      <c r="P15" s="21">
        <v>129263.53333333334</v>
      </c>
      <c r="Q15" s="22">
        <v>98.841314525244101</v>
      </c>
      <c r="R15" s="20">
        <v>9695306.5999999996</v>
      </c>
      <c r="S15" s="21">
        <v>134469.34583333333</v>
      </c>
      <c r="T15" s="22">
        <v>113.39417989837223</v>
      </c>
      <c r="U15" s="20">
        <v>10448269.25</v>
      </c>
      <c r="V15" s="21">
        <v>133648</v>
      </c>
      <c r="W15" s="140">
        <v>119.22</v>
      </c>
      <c r="X15" s="147">
        <v>10982562.340000002</v>
      </c>
      <c r="Y15" s="21">
        <v>136916</v>
      </c>
      <c r="Z15" s="140">
        <v>120.56</v>
      </c>
      <c r="AA15" s="525">
        <v>12067388.890000001</v>
      </c>
      <c r="AB15" s="21">
        <v>132834</v>
      </c>
      <c r="AC15" s="30">
        <v>90.845633572729881</v>
      </c>
      <c r="AD15" s="159">
        <v>12779068.41</v>
      </c>
      <c r="AE15" s="21">
        <f>'Qtrly''s-Cntsht Book'!X270</f>
        <v>139381.94166666668</v>
      </c>
      <c r="AF15" s="30">
        <f t="shared" si="7"/>
        <v>91.683816835908857</v>
      </c>
      <c r="AG15" s="159">
        <v>12467851.560000001</v>
      </c>
      <c r="AH15" s="21">
        <f>'Qtrly''s-Cntsht Book'!X240</f>
        <v>146609.85416666669</v>
      </c>
      <c r="AI15" s="30">
        <f>AG15/AH15</f>
        <v>85.041020133793296</v>
      </c>
      <c r="AJ15" s="159">
        <v>14244441.1</v>
      </c>
      <c r="AK15" s="21">
        <f>'Qtrly''s-Cntsht Book'!X211</f>
        <v>157539.82</v>
      </c>
      <c r="AL15" s="30">
        <f>AJ15/AK15</f>
        <v>90.418035897209975</v>
      </c>
      <c r="AM15" s="380">
        <v>15292805.16</v>
      </c>
      <c r="AN15" s="464">
        <v>158056.86249999999</v>
      </c>
      <c r="AO15" s="30">
        <f>AM15/AN15</f>
        <v>96.755084961907315</v>
      </c>
      <c r="AP15" s="380">
        <v>15360566.380000001</v>
      </c>
      <c r="AQ15" s="464">
        <v>157342</v>
      </c>
      <c r="AR15" s="30">
        <f>AP15/AQ15</f>
        <v>97.625340849868451</v>
      </c>
      <c r="AS15" s="870">
        <v>15004487</v>
      </c>
      <c r="AT15" s="874">
        <v>146872.95833333334</v>
      </c>
      <c r="AU15" s="30">
        <f>AS15/AT15</f>
        <v>102.15962945300515</v>
      </c>
      <c r="AV15" s="159">
        <v>15176252.07</v>
      </c>
      <c r="AW15" s="562">
        <v>140723</v>
      </c>
      <c r="AX15" s="30">
        <f>AV15/AW15</f>
        <v>107.84485883615329</v>
      </c>
      <c r="AY15" s="525">
        <f>'BILLING RATE CALC'!C38</f>
        <v>15506331.210000001</v>
      </c>
      <c r="AZ15" s="562">
        <f>'BILLING RATE CALC'!D38</f>
        <v>148795.29166666666</v>
      </c>
      <c r="BA15" s="30">
        <f>AY15/AZ15</f>
        <v>104.2125126159066</v>
      </c>
    </row>
    <row r="16" spans="1:53" x14ac:dyDescent="0.2">
      <c r="A16" s="14" t="s">
        <v>80</v>
      </c>
      <c r="B16" s="20">
        <v>3868924.76</v>
      </c>
      <c r="C16" s="21">
        <v>35373.062499999993</v>
      </c>
      <c r="D16" s="22">
        <v>145.62235144875612</v>
      </c>
      <c r="E16" s="1"/>
      <c r="F16" s="20">
        <v>4147309.37</v>
      </c>
      <c r="G16" s="21">
        <v>39512.345000000001</v>
      </c>
      <c r="H16" s="22">
        <v>142.61972714018285</v>
      </c>
      <c r="I16" s="20">
        <v>4147309.37</v>
      </c>
      <c r="J16" s="21">
        <v>39420</v>
      </c>
      <c r="K16" s="22">
        <v>141.87139001567976</v>
      </c>
      <c r="L16" s="20">
        <v>4309167.79</v>
      </c>
      <c r="M16" s="21">
        <v>43920</v>
      </c>
      <c r="N16" s="22">
        <v>133.62544859345206</v>
      </c>
      <c r="O16" s="20">
        <v>4247216.13</v>
      </c>
      <c r="P16" s="21">
        <v>41160.776250000003</v>
      </c>
      <c r="Q16" s="22">
        <v>133.47211370645763</v>
      </c>
      <c r="R16" s="20">
        <v>4428785.87</v>
      </c>
      <c r="S16" s="21">
        <v>42733.59166666666</v>
      </c>
      <c r="T16" s="22">
        <v>144.93079174407586</v>
      </c>
      <c r="U16" s="20">
        <v>4844664.5</v>
      </c>
      <c r="V16" s="21">
        <v>40962</v>
      </c>
      <c r="W16" s="140">
        <v>159.31</v>
      </c>
      <c r="X16" s="147">
        <v>5212389.76</v>
      </c>
      <c r="Y16" s="21">
        <v>39962</v>
      </c>
      <c r="Z16" s="140">
        <v>170.78</v>
      </c>
      <c r="AA16" s="525">
        <v>5636452.7800000003</v>
      </c>
      <c r="AB16" s="21">
        <v>43264</v>
      </c>
      <c r="AC16" s="30">
        <v>130.28043592825443</v>
      </c>
      <c r="AD16" s="159">
        <v>5676041.6699999999</v>
      </c>
      <c r="AE16" s="21">
        <f>'Qtrly''s-Cntsht Book'!X271</f>
        <v>46919.837499999994</v>
      </c>
      <c r="AF16" s="30">
        <f t="shared" si="7"/>
        <v>120.97317408654709</v>
      </c>
      <c r="AG16" s="159">
        <v>5845331.9500000002</v>
      </c>
      <c r="AH16" s="21">
        <f>'Qtrly''s-Cntsht Book'!X241</f>
        <v>57401.420833333337</v>
      </c>
      <c r="AI16" s="30">
        <f>AG16/AH16</f>
        <v>101.83253071334398</v>
      </c>
      <c r="AJ16" s="159">
        <v>7724430.5899999999</v>
      </c>
      <c r="AK16" s="21">
        <f>'Qtrly''s-Cntsht Book'!X212</f>
        <v>56705.904999999999</v>
      </c>
      <c r="AL16" s="30">
        <f>AJ16/AK16</f>
        <v>136.21915724649841</v>
      </c>
      <c r="AM16" s="380">
        <v>8442685.8599999994</v>
      </c>
      <c r="AN16" s="466">
        <v>71491.029166666674</v>
      </c>
      <c r="AO16" s="30">
        <f>AM16/AN16</f>
        <v>118.09433936553926</v>
      </c>
      <c r="AP16" s="380">
        <v>8305514.0300000003</v>
      </c>
      <c r="AQ16" s="466">
        <v>70503</v>
      </c>
      <c r="AR16" s="30">
        <f>AP16/AQ16</f>
        <v>117.80369672212531</v>
      </c>
      <c r="AS16" s="870">
        <v>8415108.7100000009</v>
      </c>
      <c r="AT16" s="874">
        <v>67050.5</v>
      </c>
      <c r="AU16" s="30">
        <f>AS16/AT16</f>
        <v>125.50404113317576</v>
      </c>
      <c r="AV16" s="159">
        <v>8463732.9700000007</v>
      </c>
      <c r="AW16" s="562">
        <v>59288</v>
      </c>
      <c r="AX16" s="30">
        <f>AV16/AW16</f>
        <v>142.75625708406423</v>
      </c>
      <c r="AY16" s="525">
        <f>'BILLING RATE CALC'!C39</f>
        <v>9406646.4100000001</v>
      </c>
      <c r="AZ16" s="562">
        <f>'BILLING RATE CALC'!D39</f>
        <v>60523.083333333328</v>
      </c>
      <c r="BA16" s="30">
        <f>AY16/AZ16</f>
        <v>155.42245853854661</v>
      </c>
    </row>
    <row r="17" spans="1:53" ht="13.5" thickBot="1" x14ac:dyDescent="0.25">
      <c r="A17" s="15" t="s">
        <v>131</v>
      </c>
      <c r="B17" s="23">
        <v>165372.82999999999</v>
      </c>
      <c r="C17" s="24">
        <v>5900.8333333333339</v>
      </c>
      <c r="D17" s="25">
        <v>64.272797981864642</v>
      </c>
      <c r="E17" s="14"/>
      <c r="F17" s="23">
        <v>128974.18</v>
      </c>
      <c r="G17" s="24">
        <v>1520.8333333333335</v>
      </c>
      <c r="H17" s="25">
        <v>122.46229755228065</v>
      </c>
      <c r="I17" s="20" t="s">
        <v>238</v>
      </c>
      <c r="J17" s="21" t="s">
        <v>239</v>
      </c>
      <c r="K17" s="22" t="s">
        <v>240</v>
      </c>
      <c r="L17" t="s">
        <v>290</v>
      </c>
      <c r="M17" s="21" t="s">
        <v>291</v>
      </c>
      <c r="N17" s="22" t="s">
        <v>239</v>
      </c>
      <c r="O17" s="20" t="s">
        <v>290</v>
      </c>
      <c r="P17" s="21" t="s">
        <v>239</v>
      </c>
      <c r="Q17" s="22" t="s">
        <v>240</v>
      </c>
      <c r="R17" s="20" t="s">
        <v>290</v>
      </c>
      <c r="S17" s="21" t="s">
        <v>239</v>
      </c>
      <c r="T17" s="22" t="s">
        <v>239</v>
      </c>
      <c r="U17" s="20" t="s">
        <v>290</v>
      </c>
      <c r="V17" s="21" t="s">
        <v>239</v>
      </c>
      <c r="W17" s="140" t="s">
        <v>239</v>
      </c>
      <c r="X17" s="147" t="s">
        <v>290</v>
      </c>
      <c r="Y17" s="21" t="s">
        <v>239</v>
      </c>
      <c r="Z17" s="140" t="s">
        <v>239</v>
      </c>
      <c r="AA17" s="20" t="s">
        <v>290</v>
      </c>
      <c r="AB17" s="21" t="s">
        <v>239</v>
      </c>
      <c r="AC17" s="22" t="s">
        <v>239</v>
      </c>
      <c r="AD17" s="158" t="s">
        <v>290</v>
      </c>
      <c r="AE17" s="21" t="s">
        <v>239</v>
      </c>
      <c r="AF17" s="22" t="s">
        <v>239</v>
      </c>
      <c r="AG17" s="158" t="s">
        <v>290</v>
      </c>
      <c r="AH17" s="530" t="s">
        <v>461</v>
      </c>
      <c r="AI17" s="22" t="s">
        <v>239</v>
      </c>
      <c r="AJ17" s="158" t="s">
        <v>290</v>
      </c>
      <c r="AK17" s="21" t="s">
        <v>239</v>
      </c>
      <c r="AL17" s="22" t="s">
        <v>239</v>
      </c>
      <c r="AM17" s="158" t="s">
        <v>290</v>
      </c>
      <c r="AN17" s="21" t="s">
        <v>239</v>
      </c>
      <c r="AO17" s="22" t="s">
        <v>239</v>
      </c>
      <c r="AP17" s="158" t="s">
        <v>290</v>
      </c>
      <c r="AQ17" s="21" t="s">
        <v>239</v>
      </c>
      <c r="AR17" s="22" t="s">
        <v>239</v>
      </c>
      <c r="AS17" s="869" t="s">
        <v>290</v>
      </c>
      <c r="AT17" s="872" t="s">
        <v>239</v>
      </c>
      <c r="AU17" s="22" t="s">
        <v>239</v>
      </c>
      <c r="AV17" s="158" t="s">
        <v>290</v>
      </c>
      <c r="AW17" s="21" t="s">
        <v>239</v>
      </c>
      <c r="AX17" s="22" t="s">
        <v>239</v>
      </c>
      <c r="AY17" s="20" t="s">
        <v>290</v>
      </c>
      <c r="AZ17" s="21" t="s">
        <v>239</v>
      </c>
      <c r="BA17" s="22" t="s">
        <v>239</v>
      </c>
    </row>
    <row r="18" spans="1:53" ht="14.25" thickTop="1" thickBot="1" x14ac:dyDescent="0.25">
      <c r="A18" s="16" t="s">
        <v>60</v>
      </c>
      <c r="B18" s="26">
        <v>80209969.890000015</v>
      </c>
      <c r="C18" s="27">
        <v>1040830.7454166668</v>
      </c>
      <c r="D18" s="150">
        <v>113.31</v>
      </c>
      <c r="E18" s="16"/>
      <c r="F18" s="26">
        <v>84520064.450000018</v>
      </c>
      <c r="G18" s="27">
        <v>1096697.1891666665</v>
      </c>
      <c r="H18" s="150">
        <v>114.96</v>
      </c>
      <c r="I18" s="26">
        <v>87100985.303000003</v>
      </c>
      <c r="J18" s="27">
        <v>1130770</v>
      </c>
      <c r="K18" s="150">
        <v>113.69</v>
      </c>
      <c r="L18" s="26">
        <v>86838486.000000015</v>
      </c>
      <c r="M18" s="27">
        <v>1164612</v>
      </c>
      <c r="N18" s="150">
        <v>110.08</v>
      </c>
      <c r="O18" s="26">
        <v>92104111.75999999</v>
      </c>
      <c r="P18" s="27">
        <v>1187552.5025000002</v>
      </c>
      <c r="Q18" s="150">
        <v>107.42</v>
      </c>
      <c r="R18" s="26">
        <v>101019978.05</v>
      </c>
      <c r="S18" s="27">
        <v>1257892.5649999997</v>
      </c>
      <c r="T18" s="150">
        <v>121.6</v>
      </c>
      <c r="U18" s="26">
        <v>112247971.41999999</v>
      </c>
      <c r="V18" s="27">
        <v>1274555</v>
      </c>
      <c r="W18" s="150">
        <v>129.11000000000001</v>
      </c>
      <c r="X18" s="148">
        <v>116257567.66000003</v>
      </c>
      <c r="Y18" s="149">
        <v>1356782</v>
      </c>
      <c r="Z18" s="524">
        <v>126.04</v>
      </c>
      <c r="AA18" s="26">
        <v>117625765.84999999</v>
      </c>
      <c r="AB18" s="27">
        <v>1290018</v>
      </c>
      <c r="AC18" s="150">
        <v>134.21</v>
      </c>
      <c r="AD18" s="160">
        <f>SUM(AD2:AD17)</f>
        <v>124375600.88</v>
      </c>
      <c r="AE18" s="27">
        <f>SUM(AE2:AE17)</f>
        <v>1369943.2458333331</v>
      </c>
      <c r="AF18" s="150">
        <v>136.44</v>
      </c>
      <c r="AG18" s="160">
        <f>SUM(AG2:AG17)</f>
        <v>123770220.69000001</v>
      </c>
      <c r="AH18" s="27">
        <f>SUM(AH2:AH17)</f>
        <v>1399615.6166666667</v>
      </c>
      <c r="AI18" s="150">
        <v>134.9</v>
      </c>
      <c r="AJ18" s="160">
        <f>SUM(AJ2:AJ17)</f>
        <v>137949523.11999997</v>
      </c>
      <c r="AK18" s="27">
        <f>SUM(AK2:AK17)</f>
        <v>1410128.1550000003</v>
      </c>
      <c r="AL18" s="150">
        <v>147.21</v>
      </c>
      <c r="AM18" s="160">
        <f>SUM(AM2:AM17)</f>
        <v>190608052.26999998</v>
      </c>
      <c r="AN18" s="27">
        <f>SUM(AN2:AN17)</f>
        <v>1838805.5166666661</v>
      </c>
      <c r="AO18" s="150">
        <v>142.66</v>
      </c>
      <c r="AP18" s="160">
        <f>SUM(AP2:AP17)</f>
        <v>188818230.76000002</v>
      </c>
      <c r="AQ18" s="27">
        <f>SUM(AQ2:AQ17)</f>
        <v>1869445</v>
      </c>
      <c r="AR18" s="150">
        <v>141.16999999999999</v>
      </c>
      <c r="AS18" s="871">
        <v>184917172.89000002</v>
      </c>
      <c r="AT18" s="873">
        <v>1757109.9999999998</v>
      </c>
      <c r="AU18" s="150">
        <v>149.62</v>
      </c>
      <c r="AV18" s="160">
        <f>SUM(AV2:AV17)</f>
        <v>182232279.14999998</v>
      </c>
      <c r="AW18" s="27">
        <f>SUM(AW2:AW17)</f>
        <v>1604161</v>
      </c>
      <c r="AX18" s="150">
        <v>166.91</v>
      </c>
      <c r="AY18" s="26">
        <f>SUM(AY2:AY17)</f>
        <v>180290674.90000001</v>
      </c>
      <c r="AZ18" s="27">
        <f>SUM(AZ2:AZ17)</f>
        <v>1565372.4583333333</v>
      </c>
      <c r="BA18" s="621">
        <f>'BILLING RATE CALC'!J40</f>
        <v>168.73918530244887</v>
      </c>
    </row>
    <row r="19" spans="1:53" ht="13.5" thickTop="1" x14ac:dyDescent="0.2">
      <c r="AE19" s="161">
        <v>1369943</v>
      </c>
      <c r="AH19" s="495">
        <v>1399616</v>
      </c>
      <c r="AJ19" s="527">
        <v>137949523.12</v>
      </c>
      <c r="AK19" s="161">
        <v>1410128</v>
      </c>
      <c r="AM19" s="527">
        <v>190608052.27000001</v>
      </c>
      <c r="AN19" s="161">
        <v>1838806</v>
      </c>
      <c r="AP19" s="527">
        <v>188818230.75999999</v>
      </c>
      <c r="AQ19" s="161">
        <v>1869445</v>
      </c>
      <c r="AS19" s="527">
        <v>184917172.88999999</v>
      </c>
      <c r="AT19" s="161">
        <v>1757110</v>
      </c>
      <c r="AV19" s="527">
        <v>182232279.15000001</v>
      </c>
      <c r="AW19" s="495" t="s">
        <v>925</v>
      </c>
      <c r="AY19" s="527">
        <f>'BILLING RATE CALC'!C40</f>
        <v>180290674.90000001</v>
      </c>
      <c r="AZ19" s="161">
        <f>'BILLING RATE CALC'!D40</f>
        <v>1565372.4583333333</v>
      </c>
    </row>
    <row r="20" spans="1:53" x14ac:dyDescent="0.2">
      <c r="X20" s="142"/>
      <c r="Z20" s="143"/>
      <c r="AJ20" s="527"/>
      <c r="AK20" s="116"/>
      <c r="AM20" s="527"/>
      <c r="AP20" s="527"/>
      <c r="AS20" s="527"/>
      <c r="AV20" s="527"/>
      <c r="AY20" s="527"/>
    </row>
    <row r="21" spans="1:53" x14ac:dyDescent="0.2">
      <c r="A21" t="s">
        <v>333</v>
      </c>
      <c r="AJ21" s="527"/>
    </row>
    <row r="25" spans="1:53" x14ac:dyDescent="0.2">
      <c r="A25" s="162" t="s">
        <v>951</v>
      </c>
    </row>
    <row r="42" spans="29:32" x14ac:dyDescent="0.2">
      <c r="AC42" t="s">
        <v>330</v>
      </c>
      <c r="AF42" t="s">
        <v>330</v>
      </c>
    </row>
  </sheetData>
  <phoneticPr fontId="21" type="noConversion"/>
  <pageMargins left="0" right="0" top="1.5" bottom="1" header="0.33" footer="0.5"/>
  <pageSetup scale="79" fitToHeight="0" orientation="landscape" r:id="rId1"/>
  <headerFooter alignWithMargins="0">
    <oddHeader>&amp;C&amp;"Arial,Bold"&amp;12DEPARTMENT OF CORRECTIONS
 COST OF CARE Year 2019
(Based on Fiscal Year 2018 Actuals)</oddHeader>
    <oddFooter>&amp;L&amp;8&amp;F &amp;A&amp;R&amp;8&amp;D &amp;T</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4:A11"/>
  <sheetViews>
    <sheetView workbookViewId="0">
      <selection activeCell="F13" sqref="F13"/>
    </sheetView>
  </sheetViews>
  <sheetFormatPr defaultRowHeight="12.75" x14ac:dyDescent="0.2"/>
  <cols>
    <col min="1" max="1" width="14.42578125" customWidth="1"/>
  </cols>
  <sheetData>
    <row r="4" spans="1:1" x14ac:dyDescent="0.2">
      <c r="A4" s="839"/>
    </row>
    <row r="5" spans="1:1" x14ac:dyDescent="0.2">
      <c r="A5" s="839"/>
    </row>
    <row r="6" spans="1:1" x14ac:dyDescent="0.2">
      <c r="A6" s="839"/>
    </row>
    <row r="7" spans="1:1" x14ac:dyDescent="0.2">
      <c r="A7" s="839"/>
    </row>
    <row r="8" spans="1:1" x14ac:dyDescent="0.2">
      <c r="A8" s="839"/>
    </row>
    <row r="9" spans="1:1" x14ac:dyDescent="0.2">
      <c r="A9" s="839"/>
    </row>
    <row r="10" spans="1:1" x14ac:dyDescent="0.2">
      <c r="A10" s="839"/>
    </row>
    <row r="11" spans="1:1" x14ac:dyDescent="0.2">
      <c r="A11" s="839"/>
    </row>
  </sheetData>
  <phoneticPr fontId="0"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24</vt:i4>
      </vt:variant>
    </vt:vector>
  </HeadingPairs>
  <TitlesOfParts>
    <vt:vector size="46" baseType="lpstr">
      <vt:lpstr>Daily Cost Calc</vt:lpstr>
      <vt:lpstr>Sched-A</vt:lpstr>
      <vt:lpstr>Sched-B1</vt:lpstr>
      <vt:lpstr>Sched-B2</vt:lpstr>
      <vt:lpstr>Sched-C</vt:lpstr>
      <vt:lpstr>Sched-D1</vt:lpstr>
      <vt:lpstr>Sched-D2</vt:lpstr>
      <vt:lpstr>Sched-E</vt:lpstr>
      <vt:lpstr>Summary-Sched-E</vt:lpstr>
      <vt:lpstr>Sched-F-G</vt:lpstr>
      <vt:lpstr>Property Inventory</vt:lpstr>
      <vt:lpstr>CostReim</vt:lpstr>
      <vt:lpstr>COST ALLOCATION</vt:lpstr>
      <vt:lpstr>BILLING RATE CALC</vt:lpstr>
      <vt:lpstr>Inmate Avg Daily Population</vt:lpstr>
      <vt:lpstr>Avg Daily Community Jails</vt:lpstr>
      <vt:lpstr>IADP-By Gender</vt:lpstr>
      <vt:lpstr>Monthly PO Workload Stats</vt:lpstr>
      <vt:lpstr>Qtrly's-Cntsht Book</vt:lpstr>
      <vt:lpstr>CRC Avg Info by FY</vt:lpstr>
      <vt:lpstr>COC 2016-2019 COMPARISON</vt:lpstr>
      <vt:lpstr>Sheet1</vt:lpstr>
      <vt:lpstr>'BILLING RATE CALC'!Print_Area</vt:lpstr>
      <vt:lpstr>'COC 2016-2019 COMPARISON'!Print_Area</vt:lpstr>
      <vt:lpstr>'COST ALLOCATION'!Print_Area</vt:lpstr>
      <vt:lpstr>CostReim!Print_Area</vt:lpstr>
      <vt:lpstr>'CRC Avg Info by FY'!Print_Area</vt:lpstr>
      <vt:lpstr>'Daily Cost Calc'!Print_Area</vt:lpstr>
      <vt:lpstr>'IADP-By Gender'!Print_Area</vt:lpstr>
      <vt:lpstr>'Inmate Avg Daily Population'!Print_Area</vt:lpstr>
      <vt:lpstr>'Monthly PO Workload Stats'!Print_Area</vt:lpstr>
      <vt:lpstr>'Property Inventory'!Print_Area</vt:lpstr>
      <vt:lpstr>'Qtrly''s-Cntsht Book'!Print_Area</vt:lpstr>
      <vt:lpstr>'Sched-B2'!Print_Area</vt:lpstr>
      <vt:lpstr>'Sched-C'!Print_Area</vt:lpstr>
      <vt:lpstr>'Sched-D1'!Print_Area</vt:lpstr>
      <vt:lpstr>'Sched-D2'!Print_Area</vt:lpstr>
      <vt:lpstr>'Sched-E'!Print_Area</vt:lpstr>
      <vt:lpstr>'Sched-F-G'!Print_Area</vt:lpstr>
      <vt:lpstr>'Summary-Sched-E'!Print_Area</vt:lpstr>
      <vt:lpstr>'COST ALLOCATION'!Print_Titles</vt:lpstr>
      <vt:lpstr>'Property Inventory'!Print_Titles</vt:lpstr>
      <vt:lpstr>'Sched-B2'!Print_Titles</vt:lpstr>
      <vt:lpstr>'Sched-D1'!Print_Titles</vt:lpstr>
      <vt:lpstr>'Sched-D2'!Print_Titles</vt:lpstr>
      <vt:lpstr>'Sched-E'!Print_Titles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 Cost of Care</dc:title>
  <dc:subject>DOC Cost of Care</dc:subject>
  <cp:lastPrinted>2025-12-31T20:38:55Z</cp:lastPrinted>
  <dcterms:created xsi:type="dcterms:W3CDTF">1998-10-01T18:59:57Z</dcterms:created>
  <dcterms:modified xsi:type="dcterms:W3CDTF">2025-12-31T20:39:01Z</dcterms:modified>
</cp:coreProperties>
</file>